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tgisaesp-my.sharepoint.com/personal/c_aduran_tgi_com_co/Documents/Escritorio/Anexos/"/>
    </mc:Choice>
  </mc:AlternateContent>
  <xr:revisionPtr revIDLastSave="0" documentId="14_{3968AB01-216C-46A8-A089-B97C0329EEDD}" xr6:coauthVersionLast="36" xr6:coauthVersionMax="36" xr10:uidLastSave="{00000000-0000-0000-0000-000000000000}"/>
  <bookViews>
    <workbookView xWindow="0" yWindow="0" windowWidth="19200" windowHeight="6810" activeTab="1" xr2:uid="{00000000-000D-0000-FFFF-FFFF00000000}"/>
  </bookViews>
  <sheets>
    <sheet name="DEUDAS" sheetId="2" r:id="rId1"/>
    <sheet name="Hoja12" sheetId="19" r:id="rId2"/>
    <sheet name="ICETEX" sheetId="1" r:id="rId3"/>
    <sheet name="Hoja2" sheetId="7" r:id="rId4"/>
    <sheet name="Hoja3" sheetId="8" r:id="rId5"/>
    <sheet name="Hoja5" sheetId="10" r:id="rId6"/>
    <sheet name="Hoja7" sheetId="12" r:id="rId7"/>
    <sheet name="LIQUIDADOR AUXILIAR" sheetId="3" state="hidden" r:id="rId8"/>
    <sheet name="LIQUIDADOR FACTURADOR" sheetId="4" state="hidden" r:id="rId9"/>
    <sheet name="Lavadora" sheetId="5" state="hidden" r:id="rId10"/>
    <sheet name="Hoja1" sheetId="6" state="hidden" r:id="rId11"/>
  </sheets>
  <definedNames>
    <definedName name="_xlnm._FilterDatabase" localSheetId="5" hidden="1">Hoja5!$A$1:$J$16</definedName>
    <definedName name="_xlnm._FilterDatabase" localSheetId="6" hidden="1">Hoja7!$A$1:$D$16</definedName>
    <definedName name="_xlnm._FilterDatabase" localSheetId="2" hidden="1">ICETEX!$A$1:$E$1</definedName>
  </definedNames>
  <calcPr calcId="191029"/>
</workbook>
</file>

<file path=xl/calcChain.xml><?xml version="1.0" encoding="utf-8"?>
<calcChain xmlns="http://schemas.openxmlformats.org/spreadsheetml/2006/main">
  <c r="GG39" i="2" l="1"/>
  <c r="GJ10" i="2" l="1"/>
  <c r="GG36" i="2"/>
  <c r="GG47" i="2"/>
  <c r="GG33" i="2"/>
  <c r="GG27" i="2" l="1"/>
  <c r="GG9" i="2" l="1"/>
  <c r="GG49" i="2" l="1"/>
  <c r="GG22" i="2" l="1"/>
  <c r="GD49" i="2" l="1"/>
  <c r="GD23" i="2"/>
  <c r="GD34" i="2"/>
  <c r="GG76" i="2"/>
  <c r="GG12" i="2" s="1"/>
  <c r="GD25" i="2" l="1"/>
  <c r="L1" i="10"/>
  <c r="J2" i="10" s="1"/>
  <c r="GD31" i="2"/>
  <c r="GD72" i="2"/>
  <c r="GD73" i="2"/>
  <c r="GD24" i="2"/>
  <c r="GD69" i="2"/>
  <c r="J16" i="10" l="1"/>
  <c r="J11" i="10"/>
  <c r="J15" i="10"/>
  <c r="J10" i="10"/>
  <c r="J8" i="10"/>
  <c r="J4" i="10"/>
  <c r="J14" i="10"/>
  <c r="J12" i="10"/>
  <c r="J9" i="10"/>
  <c r="J7" i="10"/>
  <c r="J5" i="10"/>
  <c r="J3" i="10"/>
  <c r="GD60" i="2"/>
  <c r="C7" i="8"/>
  <c r="C6" i="8"/>
  <c r="C5" i="8"/>
  <c r="GD26" i="2"/>
  <c r="GD9" i="2"/>
  <c r="GD48" i="2" l="1"/>
  <c r="GD75" i="2" s="1"/>
  <c r="GA24" i="2"/>
  <c r="GA50" i="2" l="1"/>
  <c r="GA28" i="2"/>
  <c r="GA31" i="2"/>
  <c r="GA29" i="2"/>
  <c r="GA40" i="2" l="1"/>
  <c r="GA60" i="2" l="1"/>
  <c r="GA39" i="2" l="1"/>
  <c r="GA9" i="2" l="1"/>
  <c r="GA53" i="2" l="1"/>
  <c r="GA55" i="2"/>
  <c r="GA11" i="2"/>
  <c r="GA30" i="2"/>
  <c r="D18" i="7"/>
  <c r="D20" i="7" s="1"/>
  <c r="A20" i="7"/>
  <c r="A18" i="7"/>
  <c r="A3" i="7"/>
  <c r="GA33" i="2"/>
  <c r="GA69" i="2" l="1"/>
  <c r="GA23" i="2"/>
  <c r="GA27" i="2"/>
  <c r="HE61" i="2"/>
  <c r="HE12" i="2" s="1"/>
  <c r="HB61" i="2"/>
  <c r="HB12" i="2" s="1"/>
  <c r="GY61" i="2"/>
  <c r="GY12" i="2" s="1"/>
  <c r="GV61" i="2"/>
  <c r="GV12" i="2" s="1"/>
  <c r="GS61" i="2"/>
  <c r="GS12" i="2" s="1"/>
  <c r="GP61" i="2"/>
  <c r="GP12" i="2" s="1"/>
  <c r="GM61" i="2"/>
  <c r="GM12" i="2" s="1"/>
  <c r="GJ61" i="2"/>
  <c r="GJ12" i="2" s="1"/>
  <c r="GD12" i="2"/>
  <c r="HE38" i="2" l="1"/>
  <c r="HE13" i="2" s="1"/>
  <c r="HE15" i="2" s="1"/>
  <c r="HB38" i="2"/>
  <c r="HB13" i="2" s="1"/>
  <c r="HB15" i="2" s="1"/>
  <c r="GY38" i="2"/>
  <c r="GY13" i="2" s="1"/>
  <c r="GY15" i="2" s="1"/>
  <c r="GV38" i="2"/>
  <c r="GS38" i="2"/>
  <c r="GS13" i="2" s="1"/>
  <c r="GS15" i="2" s="1"/>
  <c r="GP38" i="2"/>
  <c r="GA22" i="2"/>
  <c r="GA41" i="2" s="1"/>
  <c r="GP13" i="2" l="1"/>
  <c r="GP15" i="2" s="1"/>
  <c r="GV13" i="2"/>
  <c r="GV15" i="2" s="1"/>
  <c r="FX35" i="2"/>
  <c r="FX28" i="2"/>
  <c r="FX29" i="2"/>
  <c r="FX14" i="2" l="1"/>
  <c r="FX26" i="2"/>
  <c r="FX34" i="2" l="1"/>
  <c r="FX27" i="2"/>
  <c r="FX9" i="2" l="1"/>
  <c r="FX10" i="2"/>
  <c r="FX33" i="2"/>
  <c r="FX24" i="2" l="1"/>
  <c r="FX41" i="2" s="1"/>
  <c r="FU29" i="2"/>
  <c r="FU27" i="2"/>
  <c r="FU32" i="2" l="1"/>
  <c r="C117" i="1" l="1"/>
  <c r="B117" i="1"/>
  <c r="FU40" i="2"/>
  <c r="FU14" i="2"/>
  <c r="FU33" i="2" l="1"/>
  <c r="FU22" i="2" l="1"/>
  <c r="FU10" i="2" l="1"/>
  <c r="FU31" i="2"/>
  <c r="FU26" i="2" l="1"/>
  <c r="FR9" i="2"/>
  <c r="FU11" i="2" l="1"/>
  <c r="FU35" i="2" l="1"/>
  <c r="FU41" i="2" s="1"/>
  <c r="E51" i="6" l="1"/>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52" i="6" s="1"/>
  <c r="F52" i="6" s="1"/>
  <c r="E3" i="6"/>
  <c r="E2" i="6"/>
  <c r="E23" i="5"/>
  <c r="E22" i="5"/>
  <c r="B22" i="5"/>
  <c r="E3" i="5"/>
  <c r="B3" i="5"/>
  <c r="B23" i="5" s="1"/>
  <c r="D1" i="5"/>
  <c r="A20" i="4"/>
  <c r="A21" i="4" s="1"/>
  <c r="B12" i="4"/>
  <c r="B3" i="4" s="1"/>
  <c r="B11" i="4"/>
  <c r="J8" i="4"/>
  <c r="H8" i="4"/>
  <c r="F8" i="4"/>
  <c r="Y16" i="3"/>
  <c r="W16" i="3"/>
  <c r="U16" i="3"/>
  <c r="S16" i="3"/>
  <c r="Q16" i="3"/>
  <c r="O16" i="3"/>
  <c r="M16" i="3"/>
  <c r="K16" i="3"/>
  <c r="I16" i="3"/>
  <c r="G16" i="3"/>
  <c r="E16" i="3"/>
  <c r="W14" i="3"/>
  <c r="W18" i="3" s="1"/>
  <c r="M14" i="3"/>
  <c r="M18" i="3" s="1"/>
  <c r="B12" i="3"/>
  <c r="B11" i="3"/>
  <c r="U14" i="3" s="1"/>
  <c r="U18" i="3" s="1"/>
  <c r="Z7" i="3"/>
  <c r="B6" i="3"/>
  <c r="AA6" i="3" s="1"/>
  <c r="AA5" i="3"/>
  <c r="B5" i="3"/>
  <c r="B4" i="3"/>
  <c r="AA4" i="3" s="1"/>
  <c r="EK59" i="2"/>
  <c r="EK49" i="2" s="1"/>
  <c r="EK9" i="2" s="1"/>
  <c r="BS57" i="2"/>
  <c r="EN56" i="2"/>
  <c r="EN57" i="2" s="1"/>
  <c r="FB55" i="2"/>
  <c r="FB58" i="2" s="1"/>
  <c r="EQ53" i="2"/>
  <c r="DU52" i="2"/>
  <c r="DU54" i="2" s="1"/>
  <c r="DT52" i="2"/>
  <c r="DT54" i="2" s="1"/>
  <c r="CB52" i="2"/>
  <c r="CB13" i="2" s="1"/>
  <c r="FU54" i="2"/>
  <c r="FU9" i="2" s="1"/>
  <c r="BV51" i="2"/>
  <c r="BV54" i="2" s="1"/>
  <c r="BV29" i="2" s="1"/>
  <c r="BV37" i="2" s="1"/>
  <c r="BV12" i="2" s="1"/>
  <c r="BS51" i="2"/>
  <c r="BM51" i="2"/>
  <c r="BM12" i="2" s="1"/>
  <c r="AI49" i="2"/>
  <c r="AI11" i="2" s="1"/>
  <c r="BS46" i="2"/>
  <c r="AU46" i="2"/>
  <c r="AW46" i="2" s="1"/>
  <c r="CN45" i="2"/>
  <c r="AI45" i="2"/>
  <c r="AI12" i="2" s="1"/>
  <c r="AF45" i="2"/>
  <c r="AF11" i="2" s="1"/>
  <c r="EK44" i="2"/>
  <c r="EK46" i="2" s="1"/>
  <c r="BP44" i="2"/>
  <c r="DS43" i="2"/>
  <c r="DS41" i="2"/>
  <c r="FC40" i="2"/>
  <c r="DS39" i="2"/>
  <c r="GM38" i="2"/>
  <c r="GM13" i="2" s="1"/>
  <c r="GJ38" i="2"/>
  <c r="GJ13" i="2" s="1"/>
  <c r="GG13" i="2"/>
  <c r="GD38" i="2"/>
  <c r="FX12" i="2"/>
  <c r="FX15" i="2" s="1"/>
  <c r="T38" i="2"/>
  <c r="CK37" i="2"/>
  <c r="BP37" i="2"/>
  <c r="BP51" i="2" s="1"/>
  <c r="BP12" i="2" s="1"/>
  <c r="ET36" i="2"/>
  <c r="DS36" i="2"/>
  <c r="AU36" i="2"/>
  <c r="AV37" i="2" s="1"/>
  <c r="FR35" i="2"/>
  <c r="FI35" i="2"/>
  <c r="ET35" i="2"/>
  <c r="DS35" i="2"/>
  <c r="CN35" i="2"/>
  <c r="AR35" i="2"/>
  <c r="AR11" i="2" s="1"/>
  <c r="AL35" i="2"/>
  <c r="AL12" i="2" s="1"/>
  <c r="FL34" i="2"/>
  <c r="FF34" i="2"/>
  <c r="ET34" i="2"/>
  <c r="EN34" i="2"/>
  <c r="EH34" i="2"/>
  <c r="DP34" i="2"/>
  <c r="DJ34" i="2"/>
  <c r="CK34" i="2"/>
  <c r="BA34" i="2"/>
  <c r="BA36" i="2" s="1"/>
  <c r="BA13" i="2" s="1"/>
  <c r="FO33" i="2"/>
  <c r="FI33" i="2"/>
  <c r="FF33" i="2"/>
  <c r="ET33" i="2"/>
  <c r="EH33" i="2"/>
  <c r="DV33" i="2"/>
  <c r="DS33" i="2"/>
  <c r="DJ33" i="2"/>
  <c r="BY33" i="2"/>
  <c r="BD33" i="2"/>
  <c r="AF33" i="2"/>
  <c r="AF12" i="2" s="1"/>
  <c r="AC33" i="2"/>
  <c r="AC11" i="2" s="1"/>
  <c r="Z33" i="2"/>
  <c r="Z12" i="2" s="1"/>
  <c r="FO32" i="2"/>
  <c r="FF32" i="2"/>
  <c r="ET32" i="2"/>
  <c r="EK32" i="2"/>
  <c r="DM32" i="2"/>
  <c r="DG32" i="2"/>
  <c r="DG43" i="2" s="1"/>
  <c r="DG13" i="2" s="1"/>
  <c r="CK32" i="2"/>
  <c r="BY32" i="2"/>
  <c r="FR31" i="2"/>
  <c r="FF31" i="2"/>
  <c r="EH31" i="2"/>
  <c r="DY31" i="2"/>
  <c r="DM31" i="2"/>
  <c r="CN31" i="2"/>
  <c r="BJ31" i="2"/>
  <c r="BJ55" i="2" s="1"/>
  <c r="BJ14" i="2" s="1"/>
  <c r="AX31" i="2"/>
  <c r="AX13" i="2" s="1"/>
  <c r="FO30" i="2"/>
  <c r="FI30" i="2"/>
  <c r="EW30" i="2"/>
  <c r="ET30" i="2"/>
  <c r="EK30" i="2"/>
  <c r="EE30" i="2"/>
  <c r="DY30" i="2"/>
  <c r="DM30" i="2"/>
  <c r="DJ30" i="2"/>
  <c r="CN30" i="2"/>
  <c r="AO30" i="2"/>
  <c r="AO11" i="2" s="1"/>
  <c r="FR29" i="2"/>
  <c r="FO29" i="2"/>
  <c r="FC29" i="2"/>
  <c r="DY29" i="2"/>
  <c r="CX29" i="2"/>
  <c r="CN29" i="2"/>
  <c r="CK29" i="2"/>
  <c r="CH29" i="2"/>
  <c r="CH45" i="2" s="1"/>
  <c r="CH14" i="2" s="1"/>
  <c r="BG29" i="2"/>
  <c r="BG43" i="2" s="1"/>
  <c r="BG12" i="2" s="1"/>
  <c r="FL28" i="2"/>
  <c r="FI28" i="2"/>
  <c r="FF28" i="2"/>
  <c r="EZ28" i="2"/>
  <c r="EH28" i="2"/>
  <c r="EB28" i="2"/>
  <c r="DS28" i="2"/>
  <c r="DP28" i="2"/>
  <c r="CE28" i="2"/>
  <c r="CE48" i="2" s="1"/>
  <c r="CE13" i="2" s="1"/>
  <c r="BY28" i="2"/>
  <c r="BD28" i="2"/>
  <c r="FO27" i="2"/>
  <c r="FI27" i="2"/>
  <c r="FF27" i="2"/>
  <c r="FC27" i="2"/>
  <c r="EZ27" i="2"/>
  <c r="EQ27" i="2"/>
  <c r="EQ40" i="2" s="1"/>
  <c r="EQ12" i="2" s="1"/>
  <c r="EQ15" i="2" s="1"/>
  <c r="FR26" i="2"/>
  <c r="FF26" i="2"/>
  <c r="EW26" i="2"/>
  <c r="ET26" i="2"/>
  <c r="EK26" i="2"/>
  <c r="EE26" i="2"/>
  <c r="DY26" i="2"/>
  <c r="DV26" i="2"/>
  <c r="FR25" i="2"/>
  <c r="FO25" i="2"/>
  <c r="FI25" i="2"/>
  <c r="FF25" i="2"/>
  <c r="EW25" i="2"/>
  <c r="ET25" i="2"/>
  <c r="DV25" i="2"/>
  <c r="DS25" i="2"/>
  <c r="CX25" i="2"/>
  <c r="W25" i="2"/>
  <c r="W7" i="2" s="1"/>
  <c r="T25" i="2"/>
  <c r="T11" i="2" s="1"/>
  <c r="T15" i="2" s="1"/>
  <c r="FO24" i="2"/>
  <c r="FF24" i="2"/>
  <c r="FC24" i="2"/>
  <c r="EZ24" i="2"/>
  <c r="EW24" i="2"/>
  <c r="EH24" i="2"/>
  <c r="EB24" i="2"/>
  <c r="EB36" i="2" s="1"/>
  <c r="EB12" i="2" s="1"/>
  <c r="DY24" i="2"/>
  <c r="DV24" i="2"/>
  <c r="DP24" i="2"/>
  <c r="DM24" i="2"/>
  <c r="DD24" i="2"/>
  <c r="DD35" i="2" s="1"/>
  <c r="DD12" i="2" s="1"/>
  <c r="DD15" i="2" s="1"/>
  <c r="CX24" i="2"/>
  <c r="BD24" i="2"/>
  <c r="AX24" i="2"/>
  <c r="AX9" i="2" s="1"/>
  <c r="AR24" i="2"/>
  <c r="AR9" i="2" s="1"/>
  <c r="AL24" i="2"/>
  <c r="AL9" i="2" s="1"/>
  <c r="AI24" i="2"/>
  <c r="AI9" i="2" s="1"/>
  <c r="AF24" i="2"/>
  <c r="AF9" i="2" s="1"/>
  <c r="Z24" i="2"/>
  <c r="Z11" i="2" s="1"/>
  <c r="FF23" i="2"/>
  <c r="EZ23" i="2"/>
  <c r="EW23" i="2"/>
  <c r="EE23" i="2"/>
  <c r="DS23" i="2"/>
  <c r="DP23" i="2"/>
  <c r="CQ23" i="2"/>
  <c r="CQ9" i="2" s="1"/>
  <c r="CQ15" i="2" s="1"/>
  <c r="CN23" i="2"/>
  <c r="CN9" i="2" s="1"/>
  <c r="CK23" i="2"/>
  <c r="CK9" i="2" s="1"/>
  <c r="CH23" i="2"/>
  <c r="CH9" i="2" s="1"/>
  <c r="CE23" i="2"/>
  <c r="CE9" i="2" s="1"/>
  <c r="CB23" i="2"/>
  <c r="CB9" i="2" s="1"/>
  <c r="BY23" i="2"/>
  <c r="BY9" i="2" s="1"/>
  <c r="BV23" i="2"/>
  <c r="BV9" i="2" s="1"/>
  <c r="BS23" i="2"/>
  <c r="BS9" i="2" s="1"/>
  <c r="BP23" i="2"/>
  <c r="BP9" i="2" s="1"/>
  <c r="BM23" i="2"/>
  <c r="BM8" i="2" s="1"/>
  <c r="BJ23" i="2"/>
  <c r="BJ8" i="2" s="1"/>
  <c r="BG23" i="2"/>
  <c r="BA23" i="2"/>
  <c r="BA9" i="2" s="1"/>
  <c r="AU23" i="2"/>
  <c r="AO23" i="2"/>
  <c r="AO9" i="2" s="1"/>
  <c r="AC23" i="2"/>
  <c r="AC9" i="2" s="1"/>
  <c r="W23" i="2"/>
  <c r="W12" i="2" s="1"/>
  <c r="Q23" i="2"/>
  <c r="FR22" i="2"/>
  <c r="EW22" i="2"/>
  <c r="ET22" i="2"/>
  <c r="FL21" i="2"/>
  <c r="DA21" i="2"/>
  <c r="DA34" i="2" s="1"/>
  <c r="DA11" i="2" s="1"/>
  <c r="DA15" i="2" s="1"/>
  <c r="B20" i="2"/>
  <c r="C20" i="2" s="1"/>
  <c r="CU15" i="2"/>
  <c r="Q15" i="2"/>
  <c r="K15" i="2"/>
  <c r="K17" i="2" s="1"/>
  <c r="H15" i="2"/>
  <c r="H17" i="2" s="1"/>
  <c r="E15" i="2"/>
  <c r="E17" i="2" s="1"/>
  <c r="B15" i="2"/>
  <c r="B17" i="2" s="1"/>
  <c r="FF14" i="2"/>
  <c r="DG14" i="2"/>
  <c r="CU14" i="2"/>
  <c r="BG14" i="2"/>
  <c r="AU14" i="2"/>
  <c r="AU15" i="2" s="1"/>
  <c r="FI13" i="2"/>
  <c r="DS13" i="2"/>
  <c r="BD13" i="2"/>
  <c r="FI12" i="2"/>
  <c r="EN12" i="2"/>
  <c r="EN15" i="2" s="1"/>
  <c r="BS12" i="2"/>
  <c r="N12" i="2"/>
  <c r="N15" i="2" s="1"/>
  <c r="N17" i="2" s="1"/>
  <c r="Q3" i="2" s="1"/>
  <c r="EZ11" i="2"/>
  <c r="DJ11" i="2"/>
  <c r="FO10" i="2"/>
  <c r="FL10" i="2"/>
  <c r="FF10" i="2"/>
  <c r="EW10" i="2"/>
  <c r="ET10" i="2"/>
  <c r="EE10" i="2"/>
  <c r="BA10" i="2"/>
  <c r="AX10" i="2"/>
  <c r="FL9" i="2"/>
  <c r="FI9" i="2"/>
  <c r="FC9" i="2"/>
  <c r="EN9" i="2"/>
  <c r="EE9" i="2"/>
  <c r="EB9" i="2"/>
  <c r="CU3" i="2"/>
  <c r="B120" i="1"/>
  <c r="D120" i="1" s="1"/>
  <c r="E120" i="1" s="1"/>
  <c r="F79" i="1"/>
  <c r="E79" i="1"/>
  <c r="D79" i="1"/>
  <c r="C79" i="1"/>
  <c r="B79" i="1"/>
  <c r="E12" i="1"/>
  <c r="BD36" i="2" l="1"/>
  <c r="BD11" i="2" s="1"/>
  <c r="GD13" i="2"/>
  <c r="GD15" i="2" s="1"/>
  <c r="GA13" i="2"/>
  <c r="GA15" i="2" s="1"/>
  <c r="DP35" i="2"/>
  <c r="DP12" i="2" s="1"/>
  <c r="DP15" i="2" s="1"/>
  <c r="BY38" i="2"/>
  <c r="BY13" i="2" s="1"/>
  <c r="AV36" i="2"/>
  <c r="FL38" i="2"/>
  <c r="FL12" i="2" s="1"/>
  <c r="FL15" i="2" s="1"/>
  <c r="Q17" i="2"/>
  <c r="T3" i="2" s="1"/>
  <c r="T17" i="2" s="1"/>
  <c r="W3" i="2" s="1"/>
  <c r="BD15" i="2"/>
  <c r="AW36" i="2"/>
  <c r="AX36" i="2" s="1"/>
  <c r="DJ37" i="2"/>
  <c r="DJ12" i="2" s="1"/>
  <c r="DJ15" i="2" s="1"/>
  <c r="CU16" i="2"/>
  <c r="CU18" i="2" s="1"/>
  <c r="CX3" i="2" s="1"/>
  <c r="BM15" i="2"/>
  <c r="AI16" i="2"/>
  <c r="AC15" i="2"/>
  <c r="BG15" i="2"/>
  <c r="CH15" i="2"/>
  <c r="BS59" i="2"/>
  <c r="BS13" i="2" s="1"/>
  <c r="DV34" i="2"/>
  <c r="DV12" i="2" s="1"/>
  <c r="DV15" i="2" s="1"/>
  <c r="AR15" i="2"/>
  <c r="FI38" i="2"/>
  <c r="FI11" i="2" s="1"/>
  <c r="FI15" i="2" s="1"/>
  <c r="FR38" i="2"/>
  <c r="FR12" i="2" s="1"/>
  <c r="FR15" i="2" s="1"/>
  <c r="CK46" i="2"/>
  <c r="CK14" i="2" s="1"/>
  <c r="CK15" i="2" s="1"/>
  <c r="BA15" i="2"/>
  <c r="AX15" i="2"/>
  <c r="FC43" i="2"/>
  <c r="FC12" i="2" s="1"/>
  <c r="FC15" i="2" s="1"/>
  <c r="BP15" i="2"/>
  <c r="BJ15" i="2"/>
  <c r="GG15" i="2"/>
  <c r="AV47" i="2"/>
  <c r="AY47" i="2" s="1"/>
  <c r="GM15" i="2"/>
  <c r="BY15" i="2"/>
  <c r="FF39" i="2"/>
  <c r="FF12" i="2" s="1"/>
  <c r="FF15" i="2" s="1"/>
  <c r="DS44" i="2"/>
  <c r="DS12" i="2" s="1"/>
  <c r="DS15" i="2" s="1"/>
  <c r="CN46" i="2"/>
  <c r="CN14" i="2" s="1"/>
  <c r="CN15" i="2" s="1"/>
  <c r="AV48" i="2"/>
  <c r="AY48" i="2" s="1"/>
  <c r="GJ15" i="2"/>
  <c r="C22" i="2"/>
  <c r="EW38" i="2"/>
  <c r="EW12" i="2" s="1"/>
  <c r="EW15" i="2" s="1"/>
  <c r="EE36" i="2"/>
  <c r="EE12" i="2" s="1"/>
  <c r="EE15" i="2" s="1"/>
  <c r="EK37" i="2"/>
  <c r="EK12" i="2" s="1"/>
  <c r="EK15" i="2" s="1"/>
  <c r="CB15" i="2"/>
  <c r="ET38" i="2"/>
  <c r="ET12" i="2" s="1"/>
  <c r="ET15" i="2" s="1"/>
  <c r="BS15" i="2"/>
  <c r="EH36" i="2"/>
  <c r="EH12" i="2" s="1"/>
  <c r="EH15" i="2" s="1"/>
  <c r="CX34" i="2"/>
  <c r="CX11" i="2" s="1"/>
  <c r="CX15" i="2" s="1"/>
  <c r="Z15" i="2"/>
  <c r="AF15" i="2"/>
  <c r="DY36" i="2"/>
  <c r="DY12" i="2" s="1"/>
  <c r="DY15" i="2" s="1"/>
  <c r="DG18" i="2"/>
  <c r="AO15" i="2"/>
  <c r="EB15" i="2"/>
  <c r="AL15" i="2"/>
  <c r="FO38" i="2"/>
  <c r="FO13" i="2" s="1"/>
  <c r="FU13" i="2"/>
  <c r="FU15" i="2" s="1"/>
  <c r="FO15" i="2"/>
  <c r="CE15" i="2"/>
  <c r="B5" i="4"/>
  <c r="B4" i="4"/>
  <c r="B6" i="4"/>
  <c r="AA7" i="3"/>
  <c r="AA9" i="3" s="1"/>
  <c r="AA16" i="3" s="1"/>
  <c r="DM35" i="2"/>
  <c r="DM12" i="2" s="1"/>
  <c r="DM15" i="2" s="1"/>
  <c r="W15" i="2"/>
  <c r="BV15" i="2"/>
  <c r="EZ38" i="2"/>
  <c r="EZ12" i="2" s="1"/>
  <c r="EZ15" i="2" s="1"/>
  <c r="Y14" i="3"/>
  <c r="Y18" i="3" s="1"/>
  <c r="E14" i="3"/>
  <c r="E18" i="3" s="1"/>
  <c r="G14" i="3"/>
  <c r="G18" i="3" s="1"/>
  <c r="C21" i="2"/>
  <c r="AV46" i="2"/>
  <c r="I14" i="3"/>
  <c r="I18" i="3" s="1"/>
  <c r="AV38" i="2"/>
  <c r="K14" i="3"/>
  <c r="K18" i="3" s="1"/>
  <c r="O14" i="3"/>
  <c r="O18" i="3" s="1"/>
  <c r="Q14" i="3"/>
  <c r="Q18" i="3" s="1"/>
  <c r="S14" i="3"/>
  <c r="S18" i="3" s="1"/>
  <c r="AV43" i="2" l="1"/>
  <c r="C23" i="2"/>
  <c r="CX17" i="2"/>
  <c r="DA3" i="2" s="1"/>
  <c r="DA17" i="2" s="1"/>
  <c r="DD3" i="2" s="1"/>
  <c r="DD17" i="2" s="1"/>
  <c r="DG3" i="2" s="1"/>
  <c r="DG20" i="2" s="1"/>
  <c r="DJ3" i="2" s="1"/>
  <c r="DJ17" i="2" s="1"/>
  <c r="DM3" i="2" s="1"/>
  <c r="DM17" i="2" s="1"/>
  <c r="DP3" i="2" s="1"/>
  <c r="DP17" i="2" s="1"/>
  <c r="DS3" i="2" s="1"/>
  <c r="DS17" i="2" s="1"/>
  <c r="DV3" i="2" s="1"/>
  <c r="DV17" i="2" s="1"/>
  <c r="DY3" i="2" s="1"/>
  <c r="DY17" i="2" s="1"/>
  <c r="EB3" i="2" s="1"/>
  <c r="EB17" i="2" s="1"/>
  <c r="EE3" i="2" s="1"/>
  <c r="EE17" i="2" s="1"/>
  <c r="EH3" i="2" s="1"/>
  <c r="EH17" i="2" s="1"/>
  <c r="EK3" i="2" s="1"/>
  <c r="EK17" i="2" s="1"/>
  <c r="EN3" i="2" s="1"/>
  <c r="EN17" i="2" s="1"/>
  <c r="EQ3" i="2" s="1"/>
  <c r="EQ17" i="2" s="1"/>
  <c r="ET3" i="2" s="1"/>
  <c r="ET17" i="2" s="1"/>
  <c r="EW3" i="2" s="1"/>
  <c r="EW17" i="2" s="1"/>
  <c r="EZ3" i="2" s="1"/>
  <c r="EZ17" i="2" s="1"/>
  <c r="FC3" i="2" s="1"/>
  <c r="FC17" i="2" s="1"/>
  <c r="FF3" i="2" s="1"/>
  <c r="FF17" i="2" s="1"/>
  <c r="FI3" i="2" s="1"/>
  <c r="FI17" i="2" s="1"/>
  <c r="FL3" i="2" s="1"/>
  <c r="FL17" i="2" s="1"/>
  <c r="FO3" i="2" s="1"/>
  <c r="FO17" i="2" s="1"/>
  <c r="FR3" i="2" s="1"/>
  <c r="FR17" i="2" s="1"/>
  <c r="FU3" i="2" s="1"/>
  <c r="W17" i="2"/>
  <c r="Z3" i="2" s="1"/>
  <c r="Z17" i="2" s="1"/>
  <c r="AC3" i="2" s="1"/>
  <c r="AC17" i="2" s="1"/>
  <c r="AF3" i="2" s="1"/>
  <c r="AF17" i="2" s="1"/>
  <c r="AI3" i="2" s="1"/>
  <c r="AI18" i="2" s="1"/>
  <c r="AL3" i="2" s="1"/>
  <c r="AL17" i="2" s="1"/>
  <c r="AO3" i="2" s="1"/>
  <c r="AO17" i="2" s="1"/>
  <c r="AR3" i="2" s="1"/>
  <c r="AR17" i="2" s="1"/>
  <c r="AU3" i="2" s="1"/>
  <c r="AU17" i="2" s="1"/>
  <c r="AX3" i="2" s="1"/>
  <c r="AX17" i="2" s="1"/>
  <c r="BA3" i="2" s="1"/>
  <c r="BA17" i="2" s="1"/>
  <c r="BD3" i="2" s="1"/>
  <c r="BD17" i="2" s="1"/>
  <c r="BG3" i="2" s="1"/>
  <c r="BG17" i="2" s="1"/>
  <c r="BJ3" i="2" s="1"/>
  <c r="BJ17" i="2" s="1"/>
  <c r="BM3" i="2" s="1"/>
  <c r="BM17" i="2" s="1"/>
  <c r="BP3" i="2" s="1"/>
  <c r="BP17" i="2" s="1"/>
  <c r="BS3" i="2" s="1"/>
  <c r="BS17" i="2" s="1"/>
  <c r="BV3" i="2" s="1"/>
  <c r="BV17" i="2" s="1"/>
  <c r="BY3" i="2" s="1"/>
  <c r="BY17" i="2" s="1"/>
  <c r="CB3" i="2" s="1"/>
  <c r="CB17" i="2" s="1"/>
  <c r="CE3" i="2" s="1"/>
  <c r="CE17" i="2" s="1"/>
  <c r="CH3" i="2" s="1"/>
  <c r="CH17" i="2" s="1"/>
  <c r="CK3" i="2" s="1"/>
  <c r="CK17" i="2" s="1"/>
  <c r="CN3" i="2" s="1"/>
  <c r="CN17" i="2" s="1"/>
  <c r="CQ3" i="2" s="1"/>
  <c r="CQ17" i="2" s="1"/>
  <c r="AA14" i="3"/>
  <c r="AA18" i="3" s="1"/>
  <c r="AV49" i="2"/>
  <c r="AY46" i="2"/>
  <c r="K6" i="4"/>
  <c r="G6" i="4"/>
  <c r="E6" i="4"/>
  <c r="I6" i="4"/>
  <c r="I4" i="4"/>
  <c r="K4" i="4"/>
  <c r="B7" i="4"/>
  <c r="G4" i="4"/>
  <c r="E4" i="4"/>
  <c r="G5" i="4"/>
  <c r="E5" i="4"/>
  <c r="K5" i="4"/>
  <c r="I5" i="4"/>
  <c r="AX45" i="2" l="1"/>
  <c r="FU17" i="2"/>
  <c r="FX3" i="2" s="1"/>
  <c r="I10" i="4"/>
  <c r="I15" i="4" s="1"/>
  <c r="I8" i="4"/>
  <c r="I13" i="4" s="1"/>
  <c r="I17" i="4" s="1"/>
  <c r="G10" i="4"/>
  <c r="G15" i="4" s="1"/>
  <c r="G8" i="4"/>
  <c r="G13" i="4" s="1"/>
  <c r="G17" i="4" s="1"/>
  <c r="K7" i="4"/>
  <c r="I7" i="4"/>
  <c r="G7" i="4"/>
  <c r="E7" i="4"/>
  <c r="E10" i="4"/>
  <c r="E15" i="4" s="1"/>
  <c r="E8" i="4"/>
  <c r="E13" i="4" s="1"/>
  <c r="E17" i="4" s="1"/>
  <c r="K10" i="4"/>
  <c r="K15" i="4" s="1"/>
  <c r="K8" i="4"/>
  <c r="K13" i="4" s="1"/>
  <c r="K17" i="4" s="1"/>
  <c r="FX17" i="2" l="1"/>
  <c r="GA3" i="2" s="1"/>
  <c r="GA17" i="2" l="1"/>
  <c r="GD3" i="2" s="1"/>
  <c r="GD17" i="2" l="1"/>
  <c r="GG3" i="2" l="1"/>
  <c r="GG17" i="2" s="1"/>
  <c r="GJ3" i="2" l="1"/>
  <c r="GJ17" i="2" s="1"/>
  <c r="GM3" i="2" l="1"/>
  <c r="GM17" i="2" s="1"/>
  <c r="GP3" i="2" s="1"/>
  <c r="GP17" i="2" s="1"/>
  <c r="GS3" i="2" s="1"/>
  <c r="GS17" i="2" s="1"/>
  <c r="GV3" i="2" s="1"/>
  <c r="GV17" i="2" s="1"/>
  <c r="GY3" i="2" s="1"/>
  <c r="GY17" i="2" s="1"/>
  <c r="HB3" i="2" s="1"/>
  <c r="HB17" i="2" s="1"/>
  <c r="HE3" i="2" s="1"/>
  <c r="HE17" i="2" s="1"/>
</calcChain>
</file>

<file path=xl/sharedStrings.xml><?xml version="1.0" encoding="utf-8"?>
<sst xmlns="http://schemas.openxmlformats.org/spreadsheetml/2006/main" count="2474" uniqueCount="1086">
  <si>
    <t>Periodo</t>
  </si>
  <si>
    <t>Semestre</t>
  </si>
  <si>
    <t>2016-1</t>
  </si>
  <si>
    <t>MATRICULA</t>
  </si>
  <si>
    <t>2016-2</t>
  </si>
  <si>
    <t>2017-1</t>
  </si>
  <si>
    <t>2017-2</t>
  </si>
  <si>
    <t>2018-1</t>
  </si>
  <si>
    <t>2018-2</t>
  </si>
  <si>
    <t>2019-1</t>
  </si>
  <si>
    <t>2019-2</t>
  </si>
  <si>
    <t>2020-1</t>
  </si>
  <si>
    <t>2020-2</t>
  </si>
  <si>
    <t>Total</t>
  </si>
  <si>
    <t>FECHA DE PAGO</t>
  </si>
  <si>
    <t>VALOR PAGADO</t>
  </si>
  <si>
    <t>CAPITAL</t>
  </si>
  <si>
    <t>INTERESES</t>
  </si>
  <si>
    <t>INTERES</t>
  </si>
  <si>
    <t>FONDO GARANTÍAS</t>
  </si>
  <si>
    <t>OTROS</t>
  </si>
  <si>
    <t>DD/MM/YYYY</t>
  </si>
  <si>
    <t>CORRIENTES</t>
  </si>
  <si>
    <t>MORA</t>
  </si>
  <si>
    <t>MUERTE/INVALIDEZ</t>
  </si>
  <si>
    <t>CONCEPTOS</t>
  </si>
  <si>
    <t>$562.817.01</t>
  </si>
  <si>
    <t>$550.875.68</t>
  </si>
  <si>
    <t>$553.314.63</t>
  </si>
  <si>
    <t>$555.728.33</t>
  </si>
  <si>
    <t>$558.116.18</t>
  </si>
  <si>
    <t>$560.479.04</t>
  </si>
  <si>
    <t>$607.384.02</t>
  </si>
  <si>
    <t>$610.076.2</t>
  </si>
  <si>
    <t>$593.954.49</t>
  </si>
  <si>
    <t>$545.919.35</t>
  </si>
  <si>
    <t>$548.410.63</t>
  </si>
  <si>
    <t>$593.623.35</t>
  </si>
  <si>
    <t>$596.441.49</t>
  </si>
  <si>
    <t>$599.226.23</t>
  </si>
  <si>
    <t>$601.977.96</t>
  </si>
  <si>
    <t>$604.697.1</t>
  </si>
  <si>
    <t>$457.312.59</t>
  </si>
  <si>
    <t>$582.008.82</t>
  </si>
  <si>
    <t>$584.964.56</t>
  </si>
  <si>
    <t>$587.885.31</t>
  </si>
  <si>
    <t>$590.771.43</t>
  </si>
  <si>
    <t>$423.222.08</t>
  </si>
  <si>
    <t>$426.035.57</t>
  </si>
  <si>
    <t>$428.823.74</t>
  </si>
  <si>
    <t>$431.127.51</t>
  </si>
  <si>
    <t>$435.190.33</t>
  </si>
  <si>
    <t>Pagado</t>
  </si>
  <si>
    <t>Adeudado</t>
  </si>
  <si>
    <t>Dólar</t>
  </si>
  <si>
    <t xml:space="preserve"> </t>
  </si>
  <si>
    <t>FINAL DIC</t>
  </si>
  <si>
    <t>FINAL ENERO</t>
  </si>
  <si>
    <t>FINAL FEBRERO</t>
  </si>
  <si>
    <t>ABRIL</t>
  </si>
  <si>
    <t>MAYO</t>
  </si>
  <si>
    <t>JUNIO</t>
  </si>
  <si>
    <t>JULIO</t>
  </si>
  <si>
    <t>AGOSTO</t>
  </si>
  <si>
    <t>SEPTIEMBRE</t>
  </si>
  <si>
    <t>OCTUBRE</t>
  </si>
  <si>
    <t>NOVIEMBRE</t>
  </si>
  <si>
    <t>DICIEMBRE</t>
  </si>
  <si>
    <t>ENERO</t>
  </si>
  <si>
    <t>FEBRERO</t>
  </si>
  <si>
    <t>MARZO</t>
  </si>
  <si>
    <t>PAGO DE FEBRERO</t>
  </si>
  <si>
    <t>PAGO DE MARZO</t>
  </si>
  <si>
    <t>PAGO DE ABRIL</t>
  </si>
  <si>
    <t>PAGO DE MAYO</t>
  </si>
  <si>
    <t>PAGO DE JUNIO</t>
  </si>
  <si>
    <t>PAGO DE OCT</t>
  </si>
  <si>
    <t>PAGO DE NOV</t>
  </si>
  <si>
    <t>PAGO DE DIC</t>
  </si>
  <si>
    <t>PAGO DE ENER</t>
  </si>
  <si>
    <t>PAGO DE FEBRE</t>
  </si>
  <si>
    <t>PAGO DE JULIO</t>
  </si>
  <si>
    <t>PAGO DE AGOSTO</t>
  </si>
  <si>
    <t>PAGO DE SEPTIEMBRE</t>
  </si>
  <si>
    <t>PAGO DE OCTUBRE</t>
  </si>
  <si>
    <t>PAGO DE NOVIEMBRE</t>
  </si>
  <si>
    <t>PAGO DE DICIEMBRE</t>
  </si>
  <si>
    <t>PAGO DE ENERO</t>
  </si>
  <si>
    <t>TOTAL</t>
  </si>
  <si>
    <t>ss</t>
  </si>
  <si>
    <t>Cumpleaños papa</t>
  </si>
  <si>
    <t>fer cumple+buses</t>
  </si>
  <si>
    <t>Tatuaje</t>
  </si>
  <si>
    <t>Sportify</t>
  </si>
  <si>
    <t>Fer</t>
  </si>
  <si>
    <t>xbox mes proximo</t>
  </si>
  <si>
    <t>**</t>
  </si>
  <si>
    <t>Aniversario</t>
  </si>
  <si>
    <t>Pau</t>
  </si>
  <si>
    <t>SS</t>
  </si>
  <si>
    <t>Spotify</t>
  </si>
  <si>
    <t>Lenceria</t>
  </si>
  <si>
    <t>Fernanda</t>
  </si>
  <si>
    <t>Marilin</t>
  </si>
  <si>
    <t>Fer Cumple</t>
  </si>
  <si>
    <t>Casa</t>
  </si>
  <si>
    <t>Horus devolver</t>
  </si>
  <si>
    <t>xbox</t>
  </si>
  <si>
    <t>Xbox</t>
  </si>
  <si>
    <t>Viaje</t>
  </si>
  <si>
    <t>Regalo Papa</t>
  </si>
  <si>
    <t>Otros</t>
  </si>
  <si>
    <t>Telefono</t>
  </si>
  <si>
    <t>Bolos</t>
  </si>
  <si>
    <t>Icetex</t>
  </si>
  <si>
    <t>Imp. Carro</t>
  </si>
  <si>
    <t>Recibos</t>
  </si>
  <si>
    <t>Gatas</t>
  </si>
  <si>
    <t>Cris</t>
  </si>
  <si>
    <t>Prestamos icetex papá</t>
  </si>
  <si>
    <t>Internet</t>
  </si>
  <si>
    <t>Prestamo papá</t>
  </si>
  <si>
    <t>Eri</t>
  </si>
  <si>
    <t>Mama+Internet+Novaventa</t>
  </si>
  <si>
    <t>Pasaporte</t>
  </si>
  <si>
    <t>Regalos Navidad</t>
  </si>
  <si>
    <t>Prestamos Eri</t>
  </si>
  <si>
    <t>Santa Marta Disponible</t>
  </si>
  <si>
    <t>Ginger</t>
  </si>
  <si>
    <t>Hospedaje aruba</t>
  </si>
  <si>
    <t>Servicios</t>
  </si>
  <si>
    <t>Agua e internet</t>
  </si>
  <si>
    <t>Torta Eri</t>
  </si>
  <si>
    <t>Regalos</t>
  </si>
  <si>
    <t>Tarjeta</t>
  </si>
  <si>
    <t>Cartagena</t>
  </si>
  <si>
    <t>Abuela</t>
  </si>
  <si>
    <t>Examen ingles</t>
  </si>
  <si>
    <t>Derechos de grado</t>
  </si>
  <si>
    <t>Buses</t>
  </si>
  <si>
    <t>Tarjeta Falla</t>
  </si>
  <si>
    <t>Trajeta Fallabela</t>
  </si>
  <si>
    <t xml:space="preserve">Mama </t>
  </si>
  <si>
    <t>Transporte</t>
  </si>
  <si>
    <t>Internet+Agua</t>
  </si>
  <si>
    <t>Prestamo mamá</t>
  </si>
  <si>
    <t>Recibos(Internet+Agua+Luz)</t>
  </si>
  <si>
    <t>Recibos (Luz+Gas+internet)</t>
  </si>
  <si>
    <t>Agua+Luz+gas</t>
  </si>
  <si>
    <t>Recibos julio</t>
  </si>
  <si>
    <t>Luz y gas</t>
  </si>
  <si>
    <t>Recibos pagados (luz+gas+internet)</t>
  </si>
  <si>
    <t>Gimnasio</t>
  </si>
  <si>
    <t>Tarjeta prof</t>
  </si>
  <si>
    <t>Cumple mamá</t>
  </si>
  <si>
    <t>Tenis</t>
  </si>
  <si>
    <t>Especialización</t>
  </si>
  <si>
    <t>Credito</t>
  </si>
  <si>
    <t>Ingles</t>
  </si>
  <si>
    <t>Grado</t>
  </si>
  <si>
    <t>Spotify Nov 12</t>
  </si>
  <si>
    <t>Spotify Dic 12</t>
  </si>
  <si>
    <t>Spotify Ene 12</t>
  </si>
  <si>
    <t>Spotify Feb</t>
  </si>
  <si>
    <t xml:space="preserve">Spotify </t>
  </si>
  <si>
    <t>Spotify Mar</t>
  </si>
  <si>
    <t>Spotify Abr</t>
  </si>
  <si>
    <t>Santa Marta</t>
  </si>
  <si>
    <t>Recibos pagados(gas+luz)</t>
  </si>
  <si>
    <t>Tarjeta mes proximo</t>
  </si>
  <si>
    <t>Recibo luz+Agua+Gas</t>
  </si>
  <si>
    <t>Sra. Marlen</t>
  </si>
  <si>
    <t>Viaje Cartagena</t>
  </si>
  <si>
    <t>Stef</t>
  </si>
  <si>
    <t>Predial</t>
  </si>
  <si>
    <t>Navidad</t>
  </si>
  <si>
    <t>Tarjeta Rappi</t>
  </si>
  <si>
    <t>Gorra+Corte+Globos</t>
  </si>
  <si>
    <t>Pasajes</t>
  </si>
  <si>
    <t>Grado 2</t>
  </si>
  <si>
    <t>Aruba (vuelo+billete)</t>
  </si>
  <si>
    <t>Prestamo</t>
  </si>
  <si>
    <t>*</t>
  </si>
  <si>
    <t>Impuesto carro</t>
  </si>
  <si>
    <t>Mama</t>
  </si>
  <si>
    <t>Viaje SMT</t>
  </si>
  <si>
    <t>Pasajes Villao Fer</t>
  </si>
  <si>
    <t>Papa</t>
  </si>
  <si>
    <t>Gafas</t>
  </si>
  <si>
    <t>Celular mamá</t>
  </si>
  <si>
    <t>Fallabela</t>
  </si>
  <si>
    <t>Viaje amix</t>
  </si>
  <si>
    <t>Boleta Halloween+Noche</t>
  </si>
  <si>
    <t>Prestamos papá</t>
  </si>
  <si>
    <t>Semana Santa P2</t>
  </si>
  <si>
    <t>Deuda Rappi</t>
  </si>
  <si>
    <t>Cumple Papá</t>
  </si>
  <si>
    <t>Transportes</t>
  </si>
  <si>
    <t>Celular</t>
  </si>
  <si>
    <t>Deuda</t>
  </si>
  <si>
    <t>Santa Marta(billete+hospedaje)</t>
  </si>
  <si>
    <t>Buses y otros</t>
  </si>
  <si>
    <t>Sib buses pero claro</t>
  </si>
  <si>
    <t>dia de la madre y alcohol antibacterial</t>
  </si>
  <si>
    <t>Icfes</t>
  </si>
  <si>
    <t>Terraza</t>
  </si>
  <si>
    <t>Libreta</t>
  </si>
  <si>
    <t>Audifonos+Tarjeta+Vale+Transp</t>
  </si>
  <si>
    <t>Mari</t>
  </si>
  <si>
    <t>Viajer mor</t>
  </si>
  <si>
    <t>Prestamos papá Cervezas, icetex y cel</t>
  </si>
  <si>
    <t>Gatos</t>
  </si>
  <si>
    <t>Celular abonado</t>
  </si>
  <si>
    <t>Internet agosto</t>
  </si>
  <si>
    <t>Otro</t>
  </si>
  <si>
    <t>Mari+Perder+Ginger+Univer+Tiempo Eri</t>
  </si>
  <si>
    <t>Aniversario abono</t>
  </si>
  <si>
    <t>Aniversario faltante</t>
  </si>
  <si>
    <t>Queda</t>
  </si>
  <si>
    <t>Cuadro</t>
  </si>
  <si>
    <t>Luz</t>
  </si>
  <si>
    <t>Ilustracion (tarjeta cred)</t>
  </si>
  <si>
    <t>Gas</t>
  </si>
  <si>
    <t>Eri crema</t>
  </si>
  <si>
    <t>Comida 30 31 y cevezas</t>
  </si>
  <si>
    <t>Hotel</t>
  </si>
  <si>
    <t>Cristobal</t>
  </si>
  <si>
    <t>Pies</t>
  </si>
  <si>
    <t>Torneo Ping</t>
  </si>
  <si>
    <t>Impuesto</t>
  </si>
  <si>
    <t>Agua</t>
  </si>
  <si>
    <t>Pizza Planeta, pastas y helado</t>
  </si>
  <si>
    <t>Partido Colombia</t>
  </si>
  <si>
    <t>Salida Mari 19/11</t>
  </si>
  <si>
    <t>Velitas</t>
  </si>
  <si>
    <t>Muchas cosas que se borraron</t>
  </si>
  <si>
    <t>Uñas-Ropa-Trago</t>
  </si>
  <si>
    <t>Salida Carlos</t>
  </si>
  <si>
    <t>Galguerias</t>
  </si>
  <si>
    <t>Baby Shower Pau</t>
  </si>
  <si>
    <t>Vuelos</t>
  </si>
  <si>
    <t>Sabado (fotos)</t>
  </si>
  <si>
    <t>Deposito bucear</t>
  </si>
  <si>
    <t>Comida panas</t>
  </si>
  <si>
    <t>Shampoo, tenis y otros</t>
  </si>
  <si>
    <t>Amor</t>
  </si>
  <si>
    <t>Noches</t>
  </si>
  <si>
    <t>Suma</t>
  </si>
  <si>
    <t>Apuestas</t>
  </si>
  <si>
    <t>Cena Eri</t>
  </si>
  <si>
    <t>Mundo Aventura</t>
  </si>
  <si>
    <t xml:space="preserve">Domingo </t>
  </si>
  <si>
    <t>Almohada</t>
  </si>
  <si>
    <t>Ropa y cosas vairas</t>
  </si>
  <si>
    <t>Cumple Joha</t>
  </si>
  <si>
    <t>Uniforme</t>
  </si>
  <si>
    <t>Cumple Mile</t>
  </si>
  <si>
    <t>Cumple suegris</t>
  </si>
  <si>
    <t>Aguacates y tenis</t>
  </si>
  <si>
    <t>Visita abue</t>
  </si>
  <si>
    <t>Salida niñas</t>
  </si>
  <si>
    <t>Cumple Mar</t>
  </si>
  <si>
    <t>Salida amigos+corte</t>
  </si>
  <si>
    <t>Sabado de amigos</t>
  </si>
  <si>
    <t>Cumple papa</t>
  </si>
  <si>
    <t>Cumple Vale</t>
  </si>
  <si>
    <t>Bermuda</t>
  </si>
  <si>
    <t>Uña</t>
  </si>
  <si>
    <t>Carlos</t>
  </si>
  <si>
    <t>Cumple Vane</t>
  </si>
  <si>
    <t>-</t>
  </si>
  <si>
    <t>En efectivo lo que falte mi pez</t>
  </si>
  <si>
    <t>Desodorante+Arroz</t>
  </si>
  <si>
    <t>Corte</t>
  </si>
  <si>
    <t>Viernes BBVA</t>
  </si>
  <si>
    <t>Firma contrato</t>
  </si>
  <si>
    <t>Buses Eri+Comida</t>
  </si>
  <si>
    <t>Gata</t>
  </si>
  <si>
    <t>Cosas mamá</t>
  </si>
  <si>
    <t>Eri+Carlos</t>
  </si>
  <si>
    <t>Taxi Asado+Buses</t>
  </si>
  <si>
    <t>Salchipapitas+Corte+Mecato</t>
  </si>
  <si>
    <t>Salida viernes 20/10</t>
  </si>
  <si>
    <t>Corte y ajuste</t>
  </si>
  <si>
    <t>Luces y salida posgrado</t>
  </si>
  <si>
    <t>Madre</t>
  </si>
  <si>
    <t>Podologo</t>
  </si>
  <si>
    <t>Partido Sele</t>
  </si>
  <si>
    <t>Midatacredito</t>
  </si>
  <si>
    <t>Comida gata</t>
  </si>
  <si>
    <t>Dian</t>
  </si>
  <si>
    <t>300 Viva</t>
  </si>
  <si>
    <t>Salida Sofi</t>
  </si>
  <si>
    <t>Refrigerios Eri + Malte + Gomitas</t>
  </si>
  <si>
    <t>Fotos grado</t>
  </si>
  <si>
    <t>Viernes 28</t>
  </si>
  <si>
    <t xml:space="preserve">Otros </t>
  </si>
  <si>
    <t>Eri KFC+otras</t>
  </si>
  <si>
    <t>Boletas</t>
  </si>
  <si>
    <t>Quince Liz</t>
  </si>
  <si>
    <t>Cumple Pau</t>
  </si>
  <si>
    <t>Salida sabado 21/10</t>
  </si>
  <si>
    <t>Vuelo Santa Marta</t>
  </si>
  <si>
    <t>Junior vs Medellin</t>
  </si>
  <si>
    <t>Ma</t>
  </si>
  <si>
    <t>Arena</t>
  </si>
  <si>
    <t>Mamá</t>
  </si>
  <si>
    <t>Pau 31/10</t>
  </si>
  <si>
    <t>Yo</t>
  </si>
  <si>
    <t>Salida Erika - Carlos</t>
  </si>
  <si>
    <t>Perromono</t>
  </si>
  <si>
    <t>Sabado 29</t>
  </si>
  <si>
    <t>Festivo</t>
  </si>
  <si>
    <t>Visita Abuela</t>
  </si>
  <si>
    <t>Atun-Mani+Bocadillo</t>
  </si>
  <si>
    <t>Regalo Lady</t>
  </si>
  <si>
    <t>Corte + mecato</t>
  </si>
  <si>
    <t>Crepes+transporte</t>
  </si>
  <si>
    <t>Mecato+otros</t>
  </si>
  <si>
    <t>Gata+Cervezas 21/03</t>
  </si>
  <si>
    <t>Salidas Mar</t>
  </si>
  <si>
    <t xml:space="preserve">Trabajo </t>
  </si>
  <si>
    <t>Lavadora</t>
  </si>
  <si>
    <t>Dia de trabajo</t>
  </si>
  <si>
    <t>Trabajo</t>
  </si>
  <si>
    <t>Flores</t>
  </si>
  <si>
    <t>Brownies</t>
  </si>
  <si>
    <t>Decoracion, almuerzo mamá y Mari</t>
  </si>
  <si>
    <t>Noche amix</t>
  </si>
  <si>
    <t>Cert Tradici</t>
  </si>
  <si>
    <t>Paintball</t>
  </si>
  <si>
    <t>Storia de amore+Trans y otros 31/07/2021</t>
  </si>
  <si>
    <t>Celu Bro</t>
  </si>
  <si>
    <t>Ministerio 29/09</t>
  </si>
  <si>
    <t>Papá</t>
  </si>
  <si>
    <t>Pase sim 07 abr</t>
  </si>
  <si>
    <t>Cena</t>
  </si>
  <si>
    <t>Crepes</t>
  </si>
  <si>
    <t>Workday 24/03</t>
  </si>
  <si>
    <t>Apuesta 30/04</t>
  </si>
  <si>
    <t>Exprimidor</t>
  </si>
  <si>
    <t>Cena Carlos</t>
  </si>
  <si>
    <t>Trabajo 22/08</t>
  </si>
  <si>
    <t>Administracion</t>
  </si>
  <si>
    <t>Villa de Leyva</t>
  </si>
  <si>
    <t>Compras y salida Eri</t>
  </si>
  <si>
    <t>Mari Spotify</t>
  </si>
  <si>
    <t>Cumple Lady</t>
  </si>
  <si>
    <t>Perfumes y desodorantes</t>
  </si>
  <si>
    <t>Dia de compras</t>
  </si>
  <si>
    <t>Salida Kar</t>
  </si>
  <si>
    <t>Grado Eri</t>
  </si>
  <si>
    <t>Almuerzo 30/11</t>
  </si>
  <si>
    <t>Cita Papá</t>
  </si>
  <si>
    <t>Varios casa</t>
  </si>
  <si>
    <t>IGAC</t>
  </si>
  <si>
    <t>Beer</t>
  </si>
  <si>
    <t xml:space="preserve">Salida U </t>
  </si>
  <si>
    <t>Salidas, arena, Lu, semana santa</t>
  </si>
  <si>
    <t>Fines de semena</t>
  </si>
  <si>
    <t>27 ago - 29 agos</t>
  </si>
  <si>
    <t>Comida gatas 30/09</t>
  </si>
  <si>
    <t>Trasteo niñas</t>
  </si>
  <si>
    <t>22-23 dic</t>
  </si>
  <si>
    <t>Stef Trast+Transporte</t>
  </si>
  <si>
    <t>Taxi Ministerio</t>
  </si>
  <si>
    <t>Eri.Mar</t>
  </si>
  <si>
    <t>01 de abril, chorizos, chapa</t>
  </si>
  <si>
    <t>Grado Mari</t>
  </si>
  <si>
    <t>Fds Eri+Carlos+Niñas</t>
  </si>
  <si>
    <t>Cicla y Eri</t>
  </si>
  <si>
    <t>Fds Eri</t>
  </si>
  <si>
    <t>Er y yo comida</t>
  </si>
  <si>
    <t>Semana Santa P1</t>
  </si>
  <si>
    <t>Cumple Johana+Gomitas</t>
  </si>
  <si>
    <t>Eri pastas+Almuerzo lunes</t>
  </si>
  <si>
    <t>Peliculas</t>
  </si>
  <si>
    <t>Asado Javi</t>
  </si>
  <si>
    <t>Corral</t>
  </si>
  <si>
    <t>Salida Plaza Mexico</t>
  </si>
  <si>
    <t>Pasajes Eri</t>
  </si>
  <si>
    <t>Audifonos</t>
  </si>
  <si>
    <t>Golosinas+Final champions</t>
  </si>
  <si>
    <t>Cerveza</t>
  </si>
  <si>
    <t>Las 420</t>
  </si>
  <si>
    <t>Amigos</t>
  </si>
  <si>
    <t>Mecato</t>
  </si>
  <si>
    <t>Apuesta</t>
  </si>
  <si>
    <t>Camisa</t>
  </si>
  <si>
    <t>Contador</t>
  </si>
  <si>
    <t>Pollo</t>
  </si>
  <si>
    <t>Bro</t>
  </si>
  <si>
    <t>Mot Nat</t>
  </si>
  <si>
    <t>Salida perreo</t>
  </si>
  <si>
    <t>Lady</t>
  </si>
  <si>
    <t xml:space="preserve">Otros gatos etc </t>
  </si>
  <si>
    <t>Arena 01/09</t>
  </si>
  <si>
    <t>Koaj</t>
  </si>
  <si>
    <t>Comida gatas 31/10</t>
  </si>
  <si>
    <t>Xd</t>
  </si>
  <si>
    <t>Casa 29/01</t>
  </si>
  <si>
    <t>Fotos pase</t>
  </si>
  <si>
    <t>Eri pizzas y pasajes</t>
  </si>
  <si>
    <t>SIM</t>
  </si>
  <si>
    <t>Fds</t>
  </si>
  <si>
    <t>Chill</t>
  </si>
  <si>
    <t>Taxi Vitto</t>
  </si>
  <si>
    <t>Sushi</t>
  </si>
  <si>
    <t>Creps work</t>
  </si>
  <si>
    <t>Almuerzo 21/03</t>
  </si>
  <si>
    <t>Dulces y cita Eri</t>
  </si>
  <si>
    <t>Taxi y otros</t>
  </si>
  <si>
    <t>Mama gata</t>
  </si>
  <si>
    <t>Cumpleaños Vale</t>
  </si>
  <si>
    <t>Atun+Papitas+Gomitas+ Corte</t>
  </si>
  <si>
    <t>gatas+recibos</t>
  </si>
  <si>
    <t>Sandalia+Gorra+Faltante</t>
  </si>
  <si>
    <t>Bici</t>
  </si>
  <si>
    <t>Golosinas</t>
  </si>
  <si>
    <t>Cine aniversario</t>
  </si>
  <si>
    <t>ED-Card</t>
  </si>
  <si>
    <t>Salida Esp</t>
  </si>
  <si>
    <t>Saco</t>
  </si>
  <si>
    <t>Frutas</t>
  </si>
  <si>
    <t>Fer y otros</t>
  </si>
  <si>
    <t>Domingo 08</t>
  </si>
  <si>
    <t>Maricadas</t>
  </si>
  <si>
    <t>Cumple Mari</t>
  </si>
  <si>
    <t>mamá</t>
  </si>
  <si>
    <t xml:space="preserve">Gato+huevos+Partido+Buses Mama </t>
  </si>
  <si>
    <t>Ministerio</t>
  </si>
  <si>
    <t>Taxis</t>
  </si>
  <si>
    <t>Maria Bonita</t>
  </si>
  <si>
    <t>Año nuevo</t>
  </si>
  <si>
    <t>Regalo Sra Marlen + Transporte</t>
  </si>
  <si>
    <t>Doctor S</t>
  </si>
  <si>
    <t>Arena para gatas</t>
  </si>
  <si>
    <t>Ma colaboracion</t>
  </si>
  <si>
    <t>Arena Gatos</t>
  </si>
  <si>
    <t>Tatuaje 11/02</t>
  </si>
  <si>
    <t>Monserrate</t>
  </si>
  <si>
    <t>Enmarcar diploma</t>
  </si>
  <si>
    <t>Sabado 06</t>
  </si>
  <si>
    <t>Eri y gomitas</t>
  </si>
  <si>
    <t>Almuerzo Eri</t>
  </si>
  <si>
    <t>Dorilocos+Javi</t>
  </si>
  <si>
    <t>Camisetas</t>
  </si>
  <si>
    <t>Trabajo novena</t>
  </si>
  <si>
    <t>Comida Gata 27/02</t>
  </si>
  <si>
    <t>Salida a trabajar</t>
  </si>
  <si>
    <t>Pantalonetas y medias</t>
  </si>
  <si>
    <t>Salida Car</t>
  </si>
  <si>
    <t>Salida amigues</t>
  </si>
  <si>
    <t>Regida computador</t>
  </si>
  <si>
    <t>Pantalon</t>
  </si>
  <si>
    <t>House caro FDS</t>
  </si>
  <si>
    <t>Cremas</t>
  </si>
  <si>
    <t>Distrito</t>
  </si>
  <si>
    <t>No se</t>
  </si>
  <si>
    <t>Mama Fer</t>
  </si>
  <si>
    <t>Prestamo Mari Navidad</t>
  </si>
  <si>
    <t>05 junio y de 11 de junio</t>
  </si>
  <si>
    <t>Frisby</t>
  </si>
  <si>
    <t>Huevis+comida gata</t>
  </si>
  <si>
    <t>02 sep al 04 sep</t>
  </si>
  <si>
    <t>Cocheros amix</t>
  </si>
  <si>
    <t>Lad</t>
  </si>
  <si>
    <t>Centro</t>
  </si>
  <si>
    <t>Transporte Ministerio</t>
  </si>
  <si>
    <t>Transporte 02/03</t>
  </si>
  <si>
    <t>Cumple Cris +  Cirugia Mama + Transporte</t>
  </si>
  <si>
    <t>04 de mayo, almuerzos y onces</t>
  </si>
  <si>
    <t>Relojes</t>
  </si>
  <si>
    <t>Vale Cumple</t>
  </si>
  <si>
    <t>Gato+pizza+hambur+pastas</t>
  </si>
  <si>
    <t>Huevos-Eri-papas</t>
  </si>
  <si>
    <t>Mari Work</t>
  </si>
  <si>
    <t>Tiempo Eri</t>
  </si>
  <si>
    <t>Apercura negocio</t>
  </si>
  <si>
    <t>MMB</t>
  </si>
  <si>
    <t>Noche Carlos</t>
  </si>
  <si>
    <t>Mile</t>
  </si>
  <si>
    <t>Asado Eri+Desauno equipo</t>
  </si>
  <si>
    <t>Abuelo</t>
  </si>
  <si>
    <t>Cumple</t>
  </si>
  <si>
    <t>Niñas novena</t>
  </si>
  <si>
    <t>Fds 4/03</t>
  </si>
  <si>
    <t>Viernes santo</t>
  </si>
  <si>
    <t>Fin de semana 04-05 Agosto</t>
  </si>
  <si>
    <t>Pizza</t>
  </si>
  <si>
    <t>Almuerzo amor</t>
  </si>
  <si>
    <t>Camisas</t>
  </si>
  <si>
    <t>Anvorguesa</t>
  </si>
  <si>
    <t>Traslado</t>
  </si>
  <si>
    <t>Domingo 15</t>
  </si>
  <si>
    <t>Ajuste pero no se</t>
  </si>
  <si>
    <t>Hotel+Taxis</t>
  </si>
  <si>
    <t>Salida Val, Lad, Mar</t>
  </si>
  <si>
    <t>Uñas</t>
  </si>
  <si>
    <t>Cedula</t>
  </si>
  <si>
    <t>Bocadillo</t>
  </si>
  <si>
    <t>Taxi noche Maria Bonita</t>
  </si>
  <si>
    <t>Val</t>
  </si>
  <si>
    <t>Examenes y demas</t>
  </si>
  <si>
    <t>Finde 06/02</t>
  </si>
  <si>
    <t>Inversion Pau 2</t>
  </si>
  <si>
    <t>Fin de semana 10 de abr</t>
  </si>
  <si>
    <t>Trasnmi</t>
  </si>
  <si>
    <t xml:space="preserve">Oficina </t>
  </si>
  <si>
    <t>Regalo Eri</t>
  </si>
  <si>
    <t>Transporte Hayuelos</t>
  </si>
  <si>
    <t>Prestamo Bro y Ma recibos</t>
  </si>
  <si>
    <t>Salida Mari+Mamá</t>
  </si>
  <si>
    <t>Cumple Pau BBVA</t>
  </si>
  <si>
    <t>Abono celular</t>
  </si>
  <si>
    <t>Salida Vista</t>
  </si>
  <si>
    <t>Regalo Sofi</t>
  </si>
  <si>
    <t>Dia del padre</t>
  </si>
  <si>
    <t>Vidrio</t>
  </si>
  <si>
    <t>Cumple Carlitos</t>
  </si>
  <si>
    <t>Noche tragica</t>
  </si>
  <si>
    <t>Almuerzo 04/12</t>
  </si>
  <si>
    <t>Din de semana ciclo y dia pizzas</t>
  </si>
  <si>
    <t>Galerias</t>
  </si>
  <si>
    <t>Total otros</t>
  </si>
  <si>
    <t>Bro Fer</t>
  </si>
  <si>
    <t xml:space="preserve">31 y 01 </t>
  </si>
  <si>
    <t>Hermano</t>
  </si>
  <si>
    <t>Stef 18/06</t>
  </si>
  <si>
    <t>08-10 de julio</t>
  </si>
  <si>
    <t>Gata 11/08 y 19/08</t>
  </si>
  <si>
    <t>Envio erroneo Nequi</t>
  </si>
  <si>
    <t>Guantes</t>
  </si>
  <si>
    <t>Cumple Coro</t>
  </si>
  <si>
    <t>Boleta</t>
  </si>
  <si>
    <t>Finde 12/02</t>
  </si>
  <si>
    <t>Falabella</t>
  </si>
  <si>
    <t>Guajira</t>
  </si>
  <si>
    <t>Cine+Comida+Eri dias</t>
  </si>
  <si>
    <t>the whale</t>
  </si>
  <si>
    <t>Cuaderno Eri</t>
  </si>
  <si>
    <t>Vista C</t>
  </si>
  <si>
    <t>Prestamo Eri</t>
  </si>
  <si>
    <t>Oficinas</t>
  </si>
  <si>
    <t>Corte+Sopa+BBC+Café PO</t>
  </si>
  <si>
    <t>Taxis Eri y corte</t>
  </si>
  <si>
    <t>Spotify 12/09</t>
  </si>
  <si>
    <t>Noche Eri</t>
  </si>
  <si>
    <t>Trabajo 29/11</t>
  </si>
  <si>
    <t>Mari Celu</t>
  </si>
  <si>
    <t>Plantillas</t>
  </si>
  <si>
    <t>Salida Vale 10/08</t>
  </si>
  <si>
    <t>Bronceador+jabon y bonfiest</t>
  </si>
  <si>
    <t>Cumple de Vale</t>
  </si>
  <si>
    <t>Mma 24/08</t>
  </si>
  <si>
    <t>Tia Fer</t>
  </si>
  <si>
    <t>Otros (DIAN, Almuerzo, Liz, etc</t>
  </si>
  <si>
    <t>19/06/2021 y ayuda Mari</t>
  </si>
  <si>
    <t>11-18 dejulio</t>
  </si>
  <si>
    <t>Prestamo Stef</t>
  </si>
  <si>
    <t>Comida 08/10</t>
  </si>
  <si>
    <t>Transporte Cumple</t>
  </si>
  <si>
    <t>Sr Mar</t>
  </si>
  <si>
    <t>Inyeccion</t>
  </si>
  <si>
    <t>Inversion Pau</t>
  </si>
  <si>
    <t>Fin de con Eri</t>
  </si>
  <si>
    <t>Eri 11/06 y Lady 12/06</t>
  </si>
  <si>
    <t>Hym + mas recarga SITP</t>
  </si>
  <si>
    <t>18-19 feb</t>
  </si>
  <si>
    <t>Examenes medicos y dia womans</t>
  </si>
  <si>
    <t>Cumple Sofi</t>
  </si>
  <si>
    <t>Creps Eri+Taxi Flipendo</t>
  </si>
  <si>
    <t>Reloj Huawei</t>
  </si>
  <si>
    <t>Chelas Carlos</t>
  </si>
  <si>
    <t>Mcflurry</t>
  </si>
  <si>
    <t>Cita 4/12</t>
  </si>
  <si>
    <t>Sabado 06/04</t>
  </si>
  <si>
    <t>Reu amix</t>
  </si>
  <si>
    <t>Cumple Mamá</t>
  </si>
  <si>
    <t>Gato Eri</t>
  </si>
  <si>
    <t>Camilo</t>
  </si>
  <si>
    <t>Tapabocas</t>
  </si>
  <si>
    <t>Mar</t>
  </si>
  <si>
    <t>Ruedas mama</t>
  </si>
  <si>
    <t>Carlos y Trasmi</t>
  </si>
  <si>
    <t>Funda Celu</t>
  </si>
  <si>
    <t>Vacuna</t>
  </si>
  <si>
    <t>Don M</t>
  </si>
  <si>
    <t>Lady Cena</t>
  </si>
  <si>
    <t>Finde gonorraptor</t>
  </si>
  <si>
    <t>27-28 Feb</t>
  </si>
  <si>
    <t>RUNT-Subway-Helados+Sancocho</t>
  </si>
  <si>
    <t>Congreso</t>
  </si>
  <si>
    <t>CM Falabella</t>
  </si>
  <si>
    <t>Niñas pizza + Polas Mar + Pollo + Postre + Pollo</t>
  </si>
  <si>
    <t>Mari taxi</t>
  </si>
  <si>
    <t>Patido y Chelas Mari</t>
  </si>
  <si>
    <t>Trabajo almuerzos</t>
  </si>
  <si>
    <t>Pintada casa Mar y salida Carlos</t>
  </si>
  <si>
    <t>Arena+Comida+Luz+Zapatos</t>
  </si>
  <si>
    <t>Almuerzo trabajo</t>
  </si>
  <si>
    <t>Adaptador + audifonos</t>
  </si>
  <si>
    <t>Patido Colombia</t>
  </si>
  <si>
    <t>Chismecito Pau</t>
  </si>
  <si>
    <t>Corte cabello</t>
  </si>
  <si>
    <t>Bloque+mama+pin</t>
  </si>
  <si>
    <t>09 sept Ministerio Des y Alm</t>
  </si>
  <si>
    <t>Transporte 08/10</t>
  </si>
  <si>
    <t>Joel</t>
  </si>
  <si>
    <t>Fin de Semana</t>
  </si>
  <si>
    <t>Marica Stf</t>
  </si>
  <si>
    <t>Chino</t>
  </si>
  <si>
    <t>Mari torta</t>
  </si>
  <si>
    <t>Yate Santa Marta 60%</t>
  </si>
  <si>
    <t>Domingo 25</t>
  </si>
  <si>
    <t>Cumple hijo Carlos</t>
  </si>
  <si>
    <t>Arreglo pantalon</t>
  </si>
  <si>
    <t>Noche Mexicana</t>
  </si>
  <si>
    <t>Dia de Stef 1</t>
  </si>
  <si>
    <t>Mari cejas</t>
  </si>
  <si>
    <t>Transpor</t>
  </si>
  <si>
    <t>Fds grado de Mari  - Petro - Sustentacion</t>
  </si>
  <si>
    <t>Arreglo pantalones</t>
  </si>
  <si>
    <t>Torta</t>
  </si>
  <si>
    <t>Sibate+Otro</t>
  </si>
  <si>
    <t>Dia de la women</t>
  </si>
  <si>
    <t>Matrimonio</t>
  </si>
  <si>
    <t>Acua</t>
  </si>
  <si>
    <t>Abue</t>
  </si>
  <si>
    <t>Mamà bici</t>
  </si>
  <si>
    <t>Dia Marce</t>
  </si>
  <si>
    <t>Almuerfzos 19 y 20</t>
  </si>
  <si>
    <t>Plancha</t>
  </si>
  <si>
    <t>Documentos BBVA</t>
  </si>
  <si>
    <t>Compre Bro</t>
  </si>
  <si>
    <t>Medicamentos</t>
  </si>
  <si>
    <t>Cumpleaños jefe</t>
  </si>
  <si>
    <t>Parasol</t>
  </si>
  <si>
    <t>Gimnasio+Fit</t>
  </si>
  <si>
    <t>Salida a comer</t>
  </si>
  <si>
    <t>Cumple Eri</t>
  </si>
  <si>
    <t>Iphone pro max</t>
  </si>
  <si>
    <t>Fubol</t>
  </si>
  <si>
    <t>Case</t>
  </si>
  <si>
    <t>Bloqueador, taxi 68 otros</t>
  </si>
  <si>
    <t>Adaptador</t>
  </si>
  <si>
    <t>Betplay</t>
  </si>
  <si>
    <t>Efectivo</t>
  </si>
  <si>
    <t>Doña M</t>
  </si>
  <si>
    <t>Corte de Cabello</t>
  </si>
  <si>
    <t>Ministerio 13 y 14 de Octubre</t>
  </si>
  <si>
    <t>Corte+Desodor</t>
  </si>
  <si>
    <t>Almuerzo dia de la woman</t>
  </si>
  <si>
    <t>Transporte y Eri enferma</t>
  </si>
  <si>
    <t>Jueves 29</t>
  </si>
  <si>
    <t>Gasolina</t>
  </si>
  <si>
    <t>Nequi</t>
  </si>
  <si>
    <t>Vale</t>
  </si>
  <si>
    <t>Otros (gata o lo que sea)</t>
  </si>
  <si>
    <t>15 de Octubre Hamburguesa, taxi, almuerzo, cervezas</t>
  </si>
  <si>
    <t>Coworking</t>
  </si>
  <si>
    <t>Marce</t>
  </si>
  <si>
    <t>24-27 abr</t>
  </si>
  <si>
    <t>Papá para abue</t>
  </si>
  <si>
    <t>taxes</t>
  </si>
  <si>
    <t>BBVA</t>
  </si>
  <si>
    <t>Mamá niñas</t>
  </si>
  <si>
    <t>Finde Stf y Cumple Mar D</t>
  </si>
  <si>
    <t>Dia Mari y almuerzo</t>
  </si>
  <si>
    <t>Almuerzo Minitserio Transporte comida Multplaza</t>
  </si>
  <si>
    <t>Comida Ministerio+Comida Eri+Transporte+PapaSanitas+Chori</t>
  </si>
  <si>
    <t>Transporte y mas</t>
  </si>
  <si>
    <t>Abono</t>
  </si>
  <si>
    <t>Papá niñas</t>
  </si>
  <si>
    <t>Comida gatas 17/010</t>
  </si>
  <si>
    <t>Cine+Café+Todo del 21 al 26</t>
  </si>
  <si>
    <t>Rosita + Tiendita Mexicana</t>
  </si>
  <si>
    <t>Postre Mari</t>
  </si>
  <si>
    <t>Bote</t>
  </si>
  <si>
    <t>º</t>
  </si>
  <si>
    <t>Enmarcar Diploma</t>
  </si>
  <si>
    <t>200 de nov</t>
  </si>
  <si>
    <t>Cervezas Lady</t>
  </si>
  <si>
    <t>Cumple Bro</t>
  </si>
  <si>
    <t>Vane</t>
  </si>
  <si>
    <t>Gibenra+Stef+Vino</t>
  </si>
  <si>
    <t>Spiderman</t>
  </si>
  <si>
    <t>Nathalia+Transportes</t>
  </si>
  <si>
    <t>Arroz chino domingo</t>
  </si>
  <si>
    <t>Transporte 16/03</t>
  </si>
  <si>
    <t>Trago</t>
  </si>
  <si>
    <t>Cartagenta</t>
  </si>
  <si>
    <t>Ginebra</t>
  </si>
  <si>
    <t>Gastos del 17 al 22</t>
  </si>
  <si>
    <t>Onces+Duplicado+Desayuno</t>
  </si>
  <si>
    <t>Asado</t>
  </si>
  <si>
    <t>Lady + corte</t>
  </si>
  <si>
    <t>Farmacio</t>
  </si>
  <si>
    <t>Pa</t>
  </si>
  <si>
    <t>Comida gata 21/09</t>
  </si>
  <si>
    <t>Sushi amix</t>
  </si>
  <si>
    <t>Taxi devuelta+tienda papa</t>
  </si>
  <si>
    <t>Eri+Stef+Almuerzo U + Desa</t>
  </si>
  <si>
    <t>Stella Mama</t>
  </si>
  <si>
    <t>Domingo</t>
  </si>
  <si>
    <t>Coronotas</t>
  </si>
  <si>
    <t>Mari Qbano</t>
  </si>
  <si>
    <t>Concepto</t>
  </si>
  <si>
    <t>Jose</t>
  </si>
  <si>
    <t>Agora 23/09</t>
  </si>
  <si>
    <t>No way home</t>
  </si>
  <si>
    <t>Agua + Luz</t>
  </si>
  <si>
    <t>Otros Marce</t>
  </si>
  <si>
    <t>Prestamos</t>
  </si>
  <si>
    <t>Mamá Eri</t>
  </si>
  <si>
    <t>Kfc</t>
  </si>
  <si>
    <t>Sis Eri</t>
  </si>
  <si>
    <t>Toral</t>
  </si>
  <si>
    <t>Trasmilenio+Bueñuelos</t>
  </si>
  <si>
    <t>Sobrina Eri</t>
  </si>
  <si>
    <t>Didi regalos</t>
  </si>
  <si>
    <t>Cervezas</t>
  </si>
  <si>
    <t>Ministerio 20/12</t>
  </si>
  <si>
    <t>Alejo</t>
  </si>
  <si>
    <t>Gastos Melgar</t>
  </si>
  <si>
    <t>desayuno 24</t>
  </si>
  <si>
    <t>Almuerzo</t>
  </si>
  <si>
    <t>cena 24</t>
  </si>
  <si>
    <t>Presentes</t>
  </si>
  <si>
    <t>cena 25</t>
  </si>
  <si>
    <t>Qbano</t>
  </si>
  <si>
    <t>No se xd</t>
  </si>
  <si>
    <t>Cervezas beer</t>
  </si>
  <si>
    <t>almuerzo 26</t>
  </si>
  <si>
    <t>éxito 26</t>
  </si>
  <si>
    <t>Polas 27 oct</t>
  </si>
  <si>
    <t>almuerzo 28</t>
  </si>
  <si>
    <t>almuerzo 29</t>
  </si>
  <si>
    <t>Cena y polas</t>
  </si>
  <si>
    <t>EXTRAS</t>
  </si>
  <si>
    <t>LLEGA EN NOV</t>
  </si>
  <si>
    <t>LLEGA EN DIC</t>
  </si>
  <si>
    <t>LLEGA EN ENERO</t>
  </si>
  <si>
    <t>LLEGA EN FEB</t>
  </si>
  <si>
    <t>RECARGO</t>
  </si>
  <si>
    <t>VALOR</t>
  </si>
  <si>
    <t>TOTAL EXTRAS</t>
  </si>
  <si>
    <t>SMLV</t>
  </si>
  <si>
    <t>Sub transporte</t>
  </si>
  <si>
    <t>Un dia SMLV</t>
  </si>
  <si>
    <t>DEVENGO</t>
  </si>
  <si>
    <t>DEDUCCIONES</t>
  </si>
  <si>
    <t>,</t>
  </si>
  <si>
    <t>TOTAL QUE RECIBO</t>
  </si>
  <si>
    <t>PAGADA</t>
  </si>
  <si>
    <t>SALARIO</t>
  </si>
  <si>
    <t xml:space="preserve">Un dia </t>
  </si>
  <si>
    <t>VAMOS MK</t>
  </si>
  <si>
    <t>Total Lavadora</t>
  </si>
  <si>
    <t>Total Ginger</t>
  </si>
  <si>
    <t>Total Mamá</t>
  </si>
  <si>
    <t>Total Jose</t>
  </si>
  <si>
    <t>Abonado</t>
  </si>
  <si>
    <t>Debe</t>
  </si>
  <si>
    <t>Nv</t>
  </si>
  <si>
    <t>Nota</t>
  </si>
  <si>
    <t>Cré</t>
  </si>
  <si>
    <t>CÁLCULO DIFERENCIAL</t>
  </si>
  <si>
    <t>PRESEMINARIO</t>
  </si>
  <si>
    <t>DIBUJO TÉCNICO INDUSTRIAL</t>
  </si>
  <si>
    <t>PROGRAMACIÓN DE COMPUTADORES</t>
  </si>
  <si>
    <t>INTRODUCCIÓN A LA INGENIERÍA</t>
  </si>
  <si>
    <t>CÁLCULO INTEGRAL</t>
  </si>
  <si>
    <t>ÁLGEBRA LINEAL</t>
  </si>
  <si>
    <t>CIENCIA DE MATERIALES DE PRODUCCIÓN</t>
  </si>
  <si>
    <t>ANÁLISIS DE INFORMACIÓN EN INGENIERÍA INDUSTRIAL</t>
  </si>
  <si>
    <t>CÁLCULO VECTORIAL</t>
  </si>
  <si>
    <t>MECÁNICA Y LABORATORIO</t>
  </si>
  <si>
    <t>ANTROPOLOGÍA FILOSÓFICA</t>
  </si>
  <si>
    <t>PROCESOS INDUSTRIALES</t>
  </si>
  <si>
    <t>ECUACIONES DIFERENCIALES</t>
  </si>
  <si>
    <t>PROBABILIDAD Y ESTADÍSTICA</t>
  </si>
  <si>
    <t>ÓPTICA ONDAS Y LABORATORIO</t>
  </si>
  <si>
    <t>INVESTIGACION DE OPERACIONES I</t>
  </si>
  <si>
    <t>ELECTIVA INSTITUCIONAL III</t>
  </si>
  <si>
    <t>ESTADISTICA INFERENCIAL</t>
  </si>
  <si>
    <t>ELECTRICIDAD Y MAGNETISMO Y LABORATORIO</t>
  </si>
  <si>
    <t>ÉTICA GENERAL</t>
  </si>
  <si>
    <t>ELECTROTECNIA Y LABORATORIO</t>
  </si>
  <si>
    <t>INVESTIGACION DE OPERACIONES II</t>
  </si>
  <si>
    <t>FUNDAMENTOS DE ECONOMÍA</t>
  </si>
  <si>
    <t>COSTOS DE PRODUCCIÓN</t>
  </si>
  <si>
    <t>SEGURIDAD INDUSTRIAL</t>
  </si>
  <si>
    <t>INGENIERIA DE METODOS Y LABORATORIO</t>
  </si>
  <si>
    <t>ORGANIZACION EMPRESARIAL</t>
  </si>
  <si>
    <t>CULTURA CATÓLICA</t>
  </si>
  <si>
    <t>GESTIÓN DEL MEDIO AMBIENTE</t>
  </si>
  <si>
    <t>LOGÍSTICA INDUSTRIAL</t>
  </si>
  <si>
    <t>DISTRIBUCION DE PLANTA</t>
  </si>
  <si>
    <t>MERCADOS</t>
  </si>
  <si>
    <t>INGENIERÍA ECONÓMICA</t>
  </si>
  <si>
    <t>CADENAS DE SUMINISTRO</t>
  </si>
  <si>
    <t>CONTROL DE LA CALIDAD</t>
  </si>
  <si>
    <t>ELECTIVA INSTITUCIONAL IV</t>
  </si>
  <si>
    <t>FILOSOFÍA DEL ARTE</t>
  </si>
  <si>
    <t>FORMULACIÓN Y EVALUACIÓN DE PROYECTOS</t>
  </si>
  <si>
    <t>PLANEACIÓN Y CONTROL DE LA PRODUCCIÓN</t>
  </si>
  <si>
    <t>GESTION DE LA CALIDAD</t>
  </si>
  <si>
    <t>SIMULACIÓN DE PRODUCCIÓN</t>
  </si>
  <si>
    <t>TRABAJO DE GRADO</t>
  </si>
  <si>
    <t>GESTION GERENCIAL</t>
  </si>
  <si>
    <t>El</t>
  </si>
  <si>
    <t>GESTIÓN DEL RIESGO</t>
  </si>
  <si>
    <t>PROSPECTIVA ESTRATEGICA</t>
  </si>
  <si>
    <t>APRENDAMOS DEL ROCK</t>
  </si>
  <si>
    <t>LIDERAZGO</t>
  </si>
  <si>
    <t>DIBUJO Y PINTURA</t>
  </si>
  <si>
    <t>USO ASERTIVO DE LAS TIC (VIRTUAL)</t>
  </si>
  <si>
    <t>Trasporte</t>
  </si>
  <si>
    <t>Moto</t>
  </si>
  <si>
    <t>Parqueadero</t>
  </si>
  <si>
    <t>Meli</t>
  </si>
  <si>
    <t>Recibos pagados</t>
  </si>
  <si>
    <t>Salida 16/01</t>
  </si>
  <si>
    <t>Salida 19/01</t>
  </si>
  <si>
    <t>Erika</t>
  </si>
  <si>
    <t>Semana 20 al 27</t>
  </si>
  <si>
    <t>$417,518.19</t>
  </si>
  <si>
    <t>$420,383.03</t>
  </si>
  <si>
    <t>$377,355.04</t>
  </si>
  <si>
    <t>$380,581.4</t>
  </si>
  <si>
    <t>$383,778.73</t>
  </si>
  <si>
    <t>$376,014.29</t>
  </si>
  <si>
    <t>Weed</t>
  </si>
  <si>
    <t>Placer</t>
  </si>
  <si>
    <t>Amix</t>
  </si>
  <si>
    <t>Arreglos casa+moto</t>
  </si>
  <si>
    <t>Examenes</t>
  </si>
  <si>
    <t>Audifinos+Reloj</t>
  </si>
  <si>
    <t>Mantenimiento moto</t>
  </si>
  <si>
    <t>Fds de Jaime</t>
  </si>
  <si>
    <t>Gasolina 08/02</t>
  </si>
  <si>
    <t>Parqueaderos</t>
  </si>
  <si>
    <t>Vuelos Mayo SM</t>
  </si>
  <si>
    <t>Karen</t>
  </si>
  <si>
    <t>Accesorios</t>
  </si>
  <si>
    <t>Gripe</t>
  </si>
  <si>
    <t>Bumble+Tinder</t>
  </si>
  <si>
    <t>Fds 22 de febrero</t>
  </si>
  <si>
    <t>Recibos pendientes</t>
  </si>
  <si>
    <t>Gasolina 25/02</t>
  </si>
  <si>
    <t>Madre+Michis</t>
  </si>
  <si>
    <t>TC</t>
  </si>
  <si>
    <t>MJ Salida Cine/Comida 01/03</t>
  </si>
  <si>
    <t>Salida Karen</t>
  </si>
  <si>
    <t>Marijuana</t>
  </si>
  <si>
    <t>Sex</t>
  </si>
  <si>
    <t>Pago</t>
  </si>
  <si>
    <t>Pago TC</t>
  </si>
  <si>
    <t>Salchipapas</t>
  </si>
  <si>
    <t>aportes</t>
  </si>
  <si>
    <t>icetex</t>
  </si>
  <si>
    <t>intenet</t>
  </si>
  <si>
    <t>datos</t>
  </si>
  <si>
    <t>spotify</t>
  </si>
  <si>
    <t>plataforma</t>
  </si>
  <si>
    <t>arriendo guaj</t>
  </si>
  <si>
    <t>alimentacion</t>
  </si>
  <si>
    <t>ahorro</t>
  </si>
  <si>
    <t>lavar ropa</t>
  </si>
  <si>
    <t>internet giaj</t>
  </si>
  <si>
    <t>bogota</t>
  </si>
  <si>
    <t>falabella</t>
  </si>
  <si>
    <t>Mari hambur</t>
  </si>
  <si>
    <t>Cama+Mesita</t>
  </si>
  <si>
    <t>Gato</t>
  </si>
  <si>
    <t>Comida Majo</t>
  </si>
  <si>
    <t>Nochero</t>
  </si>
  <si>
    <t>Sabanas</t>
  </si>
  <si>
    <t>Fds 16/03</t>
  </si>
  <si>
    <t>Ficalia</t>
  </si>
  <si>
    <t>Tinder</t>
  </si>
  <si>
    <t>Salida Fds 22-24</t>
  </si>
  <si>
    <t>Tecnomecanica</t>
  </si>
  <si>
    <t>SOAT</t>
  </si>
  <si>
    <t>Hospedaje Hermanos</t>
  </si>
  <si>
    <t>Cena Majo</t>
  </si>
  <si>
    <t>Gaolina</t>
  </si>
  <si>
    <t>Salida Fds 30</t>
  </si>
  <si>
    <t>Almuerzo 31/03</t>
  </si>
  <si>
    <t>Cumpleaños Sra Marlen</t>
  </si>
  <si>
    <t>Ahorro Viaje (01 de abril)</t>
  </si>
  <si>
    <t>Galgerias</t>
  </si>
  <si>
    <t>Caida</t>
  </si>
  <si>
    <t>Crema</t>
  </si>
  <si>
    <t>Mariajuana</t>
  </si>
  <si>
    <t>Mcdonalds</t>
  </si>
  <si>
    <t>Farmatodo</t>
  </si>
  <si>
    <t>District</t>
  </si>
  <si>
    <t>Almuerzo Majo</t>
  </si>
  <si>
    <t>Ahorro viaje</t>
  </si>
  <si>
    <t>Fds 13/04</t>
  </si>
  <si>
    <t>Gasolina 14/04</t>
  </si>
  <si>
    <t>Lavada moto 14/04</t>
  </si>
  <si>
    <t>Comida gatas</t>
  </si>
  <si>
    <t>MASAYA</t>
  </si>
  <si>
    <t>Promocode: ESCAPADAS</t>
  </si>
  <si>
    <t>Lugar</t>
  </si>
  <si>
    <t>Precio noche</t>
  </si>
  <si>
    <t>Fecha</t>
  </si>
  <si>
    <t>22 a 23 de mayo</t>
  </si>
  <si>
    <t>23 a 24 de mayo</t>
  </si>
  <si>
    <t>COSTEÑO</t>
  </si>
  <si>
    <t>HERMANOS</t>
  </si>
  <si>
    <t>24 a 25 de mayo</t>
  </si>
  <si>
    <t>Observación</t>
  </si>
  <si>
    <t>SIN IVA, el IVA se paga en los lugares</t>
  </si>
  <si>
    <t>IVA aprox</t>
  </si>
  <si>
    <t>Subtotal</t>
  </si>
  <si>
    <t>IVA estimado</t>
  </si>
  <si>
    <t>Hermanos</t>
  </si>
  <si>
    <t>Atun y galgue</t>
  </si>
  <si>
    <t>Tomb raider</t>
  </si>
  <si>
    <t>Jeves santo</t>
  </si>
  <si>
    <t>Hospedaje Masya</t>
  </si>
  <si>
    <t>Gafas+Uña</t>
  </si>
  <si>
    <t>Recibos pagados (agua, luz)</t>
  </si>
  <si>
    <t>Tinder y Bumble</t>
  </si>
  <si>
    <t>Bumble</t>
  </si>
  <si>
    <t>OBJETO</t>
  </si>
  <si>
    <t>Mes</t>
  </si>
  <si>
    <t>TEXTO EXPLICATIVO INCIATIVA</t>
  </si>
  <si>
    <t>VALOR PRESUPUESTADO</t>
  </si>
  <si>
    <t>TIPO DE PRESUPUESTO</t>
  </si>
  <si>
    <t>OBSERVACIONES</t>
  </si>
  <si>
    <t>Compromiso Social San Isidro - Santana (Mejoramiento vial)</t>
  </si>
  <si>
    <t>Junio</t>
  </si>
  <si>
    <t>Infraestructura Vial</t>
  </si>
  <si>
    <t>OPEX-GASTO</t>
  </si>
  <si>
    <t>Compromiso Emergencias Planta potabilizadora vereda Otro Mundo</t>
  </si>
  <si>
    <t>Abril</t>
  </si>
  <si>
    <t>Infraestructura en Agua Potable</t>
  </si>
  <si>
    <t>Pasivo social Municipio Curumani - Corregimiento Guaymaral</t>
  </si>
  <si>
    <t>Infraestructura Educativa</t>
  </si>
  <si>
    <t>Mantenimiento Mayor - Mejoramiento de acueducto veredal Vereda Cite Barbosa</t>
  </si>
  <si>
    <t>CAPEX</t>
  </si>
  <si>
    <t>Mejoramiento Vial versión Libano veredas Campo Alegre y Coralito</t>
  </si>
  <si>
    <t>Mayo</t>
  </si>
  <si>
    <t>Mejoramiento  salon comunal, acueducto veredal y mantenimiento vial La Venta y la Colorada Florian (Línea Bolsa)</t>
  </si>
  <si>
    <t>Marzo</t>
  </si>
  <si>
    <t>Infraestructura en Agua Potable/Infraestructura Social/Infraestructura Vial</t>
  </si>
  <si>
    <t>Construccion de la cancha cubierta en la escuela de la vereda Canutillo  en Albania</t>
  </si>
  <si>
    <t>Infraestructura deportiva</t>
  </si>
  <si>
    <t>Inversión Social Venadillo</t>
  </si>
  <si>
    <t>Septiembre</t>
  </si>
  <si>
    <t>Infraestructura en Saneamiento Básico</t>
  </si>
  <si>
    <t>Inversión social Une</t>
  </si>
  <si>
    <t>Infraestructura Social</t>
  </si>
  <si>
    <t>Inversión social Tauramena Aceite Alto</t>
  </si>
  <si>
    <t>Mantenimiento Mayor veredas Pueblo Viejo y Potreros  - Albania</t>
  </si>
  <si>
    <t>Mantenimiento Mayor veredas La Cristalina - Puerto Boyaca</t>
  </si>
  <si>
    <t>Gasificación Municipio de Chiquinquirá </t>
  </si>
  <si>
    <t>Gasificación Rural</t>
  </si>
  <si>
    <t>Gasificación Municipio de Saboyá</t>
  </si>
  <si>
    <t xml:space="preserve"> Pendiente Concepto Técnico</t>
  </si>
  <si>
    <t xml:space="preserve"> Pendiente concepto técnico</t>
  </si>
  <si>
    <t xml:space="preserve"> Pendiente Concepto técnico</t>
  </si>
  <si>
    <t xml:space="preserve"> Pendiente concepto técnico de La Vereda La Venta</t>
  </si>
  <si>
    <t xml:space="preserve"> Pendiente concepto técnico de La vereda la Colorada</t>
  </si>
  <si>
    <t>Pendiente Concepto técnico</t>
  </si>
  <si>
    <t>FECHA SOLICITUD</t>
  </si>
  <si>
    <t>DIAS HABILES TRASCURRIDOS</t>
  </si>
  <si>
    <t>PROYECTO</t>
  </si>
  <si>
    <t>CONSTRUCCIÓN DE PLACA HUELLA EN EL SECTOR EL TASAJO, ENTRE LAS VEREDAS SAN ISIDRO Y SAN PEDRO, MUNICIPIO DE SANTANA, BOYACÁ</t>
  </si>
  <si>
    <t>SUMINISTRO E INSTALACIÓN DE PLANTA DE TRATAMIENTO DE AGUA POTABLE PARA LA VEREDA OTRO MUNDO DEL MUNICIPIO DE FLORIÁN-SANTANDER</t>
  </si>
  <si>
    <t>CONSTRUCCION DE COCINA PARA ESCUELA DEL CORREGIMIENTO DE GUAIMARAL, MUNICIPIO DE CURUMANI, DEPARTAMENTO DEL CESAR</t>
  </si>
  <si>
    <t>OPTIMIZACIÓN DEL SISTEMA DE ACUEDUCTO DEL CORREGIMIENTO DE CITE, MUNICIPIO DE BARBOSA SANTANDER</t>
  </si>
  <si>
    <t>SUMINISTRO DE MATERIALES PARA LA CONSTRUCCIÓN COMUNITARIA DE CINTA HUELLA EN LÍBANO, TOLIMA – ALIANZA TGI, ALCALDÍA Y COMUNIDAD</t>
  </si>
  <si>
    <t>MEJORAMIENTO AL ACUEDUCTO EN LA VEREDA LA COLORADA DEL MUNICIPIO DE FLORIÁN EN EL DEPARTAMENTO DE SANTANDER.</t>
  </si>
  <si>
    <t>CONSTRUCCIÓN DE ALCANTARILLA VEREDA  Y MEJORAMIENTO Y ADECUACIÓN DEL PARQUE PRINCIPAL VEREDA LA VENTA DEL MUNICIPIO DE FLORIÁN, DEPARTAMENTO DE SANTANDER.</t>
  </si>
  <si>
    <t>COSNTRUCCIÓN  DE CUBIERTA PARA EL POLIDEPORTIVO DE LA ESCUELA CANUTILLO MUNICIPIO DE ALBANIA SANTANDER</t>
  </si>
  <si>
    <t>MEJORAMIENTO DE REDES DE ALCANTARILLADO EN EL MUNICIPIO DE VENADILLO, DEPARTAMENTO DEL TOLIMA</t>
  </si>
  <si>
    <t>ADECUACIÓN Y FORTALECIMIENTO ESTRUCTURAL DE BODEGA COMUNITARIA – VEREDA EL ACEITE ALTO, TAURAMENA</t>
  </si>
  <si>
    <t>SUMINISTRO E INSTALACIÓN DE DOS PARQUES INFANTILES EN ESPACIOS DE BIEN PÚBLICO, ESPECÍFICAMENTE EN LA INSTITUCIÓN EDUCATIVA DE LA VEREDA QUECA Y LA SEDE SOCIAL DE LA VEREDA SAN ISIDRO, DEL MUNICIPIO DE UNE, CUNDINAMARCA</t>
  </si>
  <si>
    <t>CONSTRUCCIÓN DE PLACA HUELLA EN LAS VEREDAS DE  PUEBLO VIEJO Y POTREROS CORREGIMIENTO DEL HATILLO DEL MUNICIPIO DE ALBANIA DEPARTAMENTO DE SANTANDER</t>
  </si>
  <si>
    <t>CONSTRUCCIÓN DE PLACA HUELLA EN EL CORREGIMIENTO LA CRISTALINA VEREDA LAS QUINCHAS DEL MUNICIPIO DE PUERTO BOYACA DEPARTAMENTO DE BOYACA</t>
  </si>
  <si>
    <t xml:space="preserve">Respuesta enviada el 22/04 </t>
  </si>
  <si>
    <t>FORTALECIMIENTO AL SERVICIO DE GAS DOMICILIARIO MEDIANTE SUBSIDIOS AL DERECHO DE CONEXIÓN Y LA RED INTERNA PARA ESTRATOS 1 Y 2 PARA EL MUNICIPIO  SABOYÁ DEL DEPARTAMENTO DE BOYACÁ</t>
  </si>
  <si>
    <t>Pendiente respuesta Juan Carlos Gonzalez</t>
  </si>
  <si>
    <t>Pendiente respuesta Andres Botero</t>
  </si>
  <si>
    <t>Pendiente respuesta Alvaro Gonzalez</t>
  </si>
  <si>
    <t>FORTALECIMIENTO AL SERVICIO DE GAS DOMICILIARIO MEDIANTE SUBSIDIOS AL DERECHO DE CONEXIÓN Y LA RED INTERNA PARA ESTRATOS 1 Y 2 PARA EL MUNICIPIO CHIQUINQUIRÁ DEL DEPARTAMENTO DE BOYACÁ</t>
  </si>
  <si>
    <t>Fecha de Solicitud</t>
  </si>
  <si>
    <t>Profesional</t>
  </si>
  <si>
    <t>RV: Presentación para Revisión Proyecto mejoramiento de Redes de alcantarillado Municipio de Venadillo Tolima</t>
  </si>
  <si>
    <t>Venadillo Tolima</t>
  </si>
  <si>
    <t>Alvaro Gonzalez</t>
  </si>
  <si>
    <t>Presentación para Revisión Proyecto mejoramiento de Redes de Acueducto Vrda La Colorada - Florián Santander</t>
  </si>
  <si>
    <t>Vrda La Colorada - Florián Santander</t>
  </si>
  <si>
    <t>Presentación para Revisión Proyecto Planta Potabilizadora - Florian Santander</t>
  </si>
  <si>
    <t>Florian Santander</t>
  </si>
  <si>
    <t xml:space="preserve">Presentación para Revisión Proyecto SUMINISTRO DE MATERIALES DE CONSTRUCCIÓN  CINTA HUELLA - Libano Tolima </t>
  </si>
  <si>
    <t xml:space="preserve">Libano Tolima </t>
  </si>
  <si>
    <t>Andres Botero</t>
  </si>
  <si>
    <t>Presentación para Revisión Proyecto Optimización de Sistema de Acueducto Barbosa Santander</t>
  </si>
  <si>
    <t>Barbosa Santander</t>
  </si>
  <si>
    <t>Presentación para Revisión Proyecto mejoramiento estructural Vrda Aceite Alto- Tauramena</t>
  </si>
  <si>
    <t>Vrda Aceite Alto- Tauramena</t>
  </si>
  <si>
    <t>Presentación para Revisión Proyecto Construcción Placa huella, Municipio de Santana Boyacá</t>
  </si>
  <si>
    <t>Santana - Boyacá</t>
  </si>
  <si>
    <t>Presentación para Revisión Proyecto Construcción Cocina - Escolar, Curumaní Cesar</t>
  </si>
  <si>
    <t>Curumaní - Cesar</t>
  </si>
  <si>
    <t>Presentación para Revisión Proyecto Construcción de Cubierta Polideportivo - Albania, Santander</t>
  </si>
  <si>
    <t>Albania - Santander</t>
  </si>
  <si>
    <t>Presentación para Revisión Proyecto SUMINISTRO DE PARQUES INFANTILES, Une Cundinamarca</t>
  </si>
  <si>
    <t>Une - Cundianamarca</t>
  </si>
  <si>
    <t>Presentación para Revisión Proyecto Vreda la Venta, Florian Santander</t>
  </si>
  <si>
    <t>Vreda la Venta - Florian, Santander</t>
  </si>
  <si>
    <t>Presentación para Revisión Proyecto Conexiones de Gas en el  Municipio de Chiquinquirá del Departamento de Boyacá</t>
  </si>
  <si>
    <t>Municipio de Chiquinquirá del Departamento de Boyacá</t>
  </si>
  <si>
    <t>Juan Carlos Gonzalez</t>
  </si>
  <si>
    <t xml:space="preserve">Presentación para Revisión Proyecto Dotación Y Adecuación Salón Comunal Corregimiento La Palma,San Alberto Cesar </t>
  </si>
  <si>
    <t xml:space="preserve">La Palma,San Alberto Cesar </t>
  </si>
  <si>
    <t>RV: Presentación para Revisión Proyecto Conexiones de Gas en los Municipio de Saboyá del Departamento de Boyacá</t>
  </si>
  <si>
    <t>Municipio de Saboyá del Departamento de Boyacá</t>
  </si>
  <si>
    <t>RV: Presentación para Revisión Proyecto Construcción Placa Huella Potreros Y Pueblo Viejo - Albania, Santander</t>
  </si>
  <si>
    <t>Potreros Y Pueblo Viejo - Albania, Santander</t>
  </si>
  <si>
    <t>Ubicación</t>
  </si>
  <si>
    <t>Asunto correo</t>
  </si>
  <si>
    <t>Cita Medicina General</t>
  </si>
  <si>
    <t>Dia del trabajo</t>
  </si>
  <si>
    <t>Mamografia</t>
  </si>
  <si>
    <t>Moto llanta</t>
  </si>
  <si>
    <t>Cine</t>
  </si>
  <si>
    <t>Show Lucho</t>
  </si>
  <si>
    <t>Salida Majo 03/05</t>
  </si>
  <si>
    <t>Interconsulta</t>
  </si>
  <si>
    <t>Ecohuevas</t>
  </si>
  <si>
    <t>Corte 07/05</t>
  </si>
  <si>
    <t>Cita mamá</t>
  </si>
  <si>
    <t>Laboratorio</t>
  </si>
  <si>
    <t>Uñas y 420</t>
  </si>
  <si>
    <t>Cita Papá, Majo y otros</t>
  </si>
  <si>
    <t>Majo, mamá y mas</t>
  </si>
  <si>
    <t>Cita cirujia general 13/05</t>
  </si>
  <si>
    <t>Baño</t>
  </si>
  <si>
    <t>UNIDAD</t>
  </si>
  <si>
    <t>CANTIDAD</t>
  </si>
  <si>
    <t>Tubería de Polietileno de 1 pulg. en Zona Verde</t>
  </si>
  <si>
    <t>Tubería de Polietileno de 2 pulg. en Zona Verde</t>
  </si>
  <si>
    <t>Caja de Inspección</t>
  </si>
  <si>
    <t>CONSTRUCCIÓN DEL SISTEMA DE DISTRIBUCIÓN DE GAS NATURAL POR RED PARA LAS VEREDAS VILLA HERMOSA, SITIO NUEVO, SAN CAYETANO, SAILAN, RODEO, PALACIO, LA PLAYA, COSTA RICA, CAMPO HERMOSO, BERLÍN, EL FUNCIAL, LOS NARANJOS Y CACHIPAYAL EN EL MUNICIPIO DE LA BELLEZA- OBRAS POR IMPUESTOS</t>
  </si>
  <si>
    <t>PROPUESTA ECONÓMICA</t>
  </si>
  <si>
    <t>Notas para el diligenciamiento de la oferta:</t>
  </si>
  <si>
    <t>ÍTEM</t>
  </si>
  <si>
    <t>DESCRIPCIÓN</t>
  </si>
  <si>
    <t>VR. UNITARIO</t>
  </si>
  <si>
    <t>VR. TOTAL</t>
  </si>
  <si>
    <t>$ -</t>
  </si>
  <si>
    <t>(A) SUBTOTAL COSTOS DIRECTOS</t>
  </si>
  <si>
    <t>(B) ADMINISTRACIÓN (%)</t>
  </si>
  <si>
    <t>(C) IMPREVISTOS (%)</t>
  </si>
  <si>
    <t>(D) UTILIDAD (%)</t>
  </si>
  <si>
    <t>(E) IVA SOBRE UTILIDAD (%)</t>
  </si>
  <si>
    <t>(F)TOTAL CON AIU (A+B+C+D)</t>
  </si>
  <si>
    <t>(G) TOTAL COSTO INCLUYENDO IVA (E+F)</t>
  </si>
  <si>
    <t>Tubería de Polietileno de 3/4 pulg. en Zona Verde</t>
  </si>
  <si>
    <t>Cruce Aéreo 5 ml de luz - Tuberia de Polietileno de 3/4 pulg</t>
  </si>
  <si>
    <t>Cruce Aéreo 10 ml de luz - Tuberia de Polietileno de 3/4 pulg</t>
  </si>
  <si>
    <t>Cruce Aéreo 12 ml de luz - Tuberia de Polietileno de 3/4 pulg</t>
  </si>
  <si>
    <t>Cruce Aéreo 14 ml de luz - Tuberia de Polietileno de 3/4 pulg</t>
  </si>
  <si>
    <t>Cruce Aéreo 15 ml de luz - Tuberia de Polietileno de 3/4 pulg</t>
  </si>
  <si>
    <t>Cruce Aéreo 7 ml de luz - Tuberia de Polietileno de 1 pulg</t>
  </si>
  <si>
    <t>Cruce Aéreo 12 ml de luz - Tuberia de Polietileno de 1 Pulg</t>
  </si>
  <si>
    <t xml:space="preserve">Canalización de tuberia mediante perforación horizontal </t>
  </si>
  <si>
    <t>Conexión a City Gate</t>
  </si>
  <si>
    <t>Estación de Medición y Odorización</t>
  </si>
  <si>
    <t>Derechos de conexión residenciales  (Acometida + Medidor) - no incluye revision</t>
  </si>
  <si>
    <t>Revisión previa</t>
  </si>
  <si>
    <t>Red Interna</t>
  </si>
  <si>
    <t>Valla publicitaria</t>
  </si>
  <si>
    <t>Km</t>
  </si>
  <si>
    <t>Und</t>
  </si>
  <si>
    <t>1. El Proveedor deberá tener en cuenta que los valores consignados en la columna “Vr. Unitarios” deben incluir la totalidad de los costos directos e indirectos asociados a la ejecución del contrato. Estos valores deberán contemplar, entre otros: honorarios, salarios, prestaciones sociales, impuestos, tasas, contribuciones, viáticos, logística, herramientas, transporte, materiales de oficina, medidas de bioseguridad, y cualquier otro gasto necesario para garantizar el cumplimiento integral y adecuado del objeto contractual.</t>
  </si>
  <si>
    <r>
      <t xml:space="preserve">2. El proveedor deberá estimar las actividades descritas en </t>
    </r>
    <r>
      <rPr>
        <i/>
        <sz val="9"/>
        <color theme="1"/>
        <rFont val="Arial"/>
        <family val="2"/>
      </rPr>
      <t>Anexo No. 5 Memoria Justificativa y Técnica del proyecto, Apéndice No.7 Especificaciones Técnicas</t>
    </r>
    <r>
      <rPr>
        <sz val="9"/>
        <color theme="1"/>
        <rFont val="Arial"/>
        <family val="2"/>
      </rPr>
      <t xml:space="preserve"> y el valor de las mismas estarán incluidas en el valor final de la propuesta.</t>
    </r>
  </si>
  <si>
    <t>3. El proveedor deberá tener en cuenta el Anexo No. 5 Memoria Justificativa y Técnica del proyecto, Apéndice No.7 Especificaciones Técnicas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</si>
</sst>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4" formatCode="_-&quot;$&quot;\ * #,##0.00_-;\-&quot;$&quot;\ * #,##0.00_-;_-&quot;$&quot;\ * &quot;-&quot;??_-;_-@_-"/>
    <numFmt numFmtId="164" formatCode="_-&quot;$&quot;* #,##0_-;\-&quot;$&quot;* #,##0_-;_-&quot;$&quot;* &quot;-&quot;_-;_-@"/>
    <numFmt numFmtId="165" formatCode="d/m/yyyy"/>
    <numFmt numFmtId="166" formatCode="#,##0.000"/>
    <numFmt numFmtId="167" formatCode="_-&quot;$&quot;\ * #,##0_-;\-&quot;$&quot;\ * #,##0_-;_-&quot;$&quot;\ * &quot;-&quot;??_-;_-@"/>
    <numFmt numFmtId="168" formatCode="_-&quot;$&quot;\ * #,##0_-;\-&quot;$&quot;\ * #,##0_-;_-&quot;$&quot;\ * &quot;-&quot;?_-;_-@"/>
    <numFmt numFmtId="169" formatCode="_-&quot;$&quot;\ * #,##0.0_-;\-&quot;$&quot;\ * #,##0.0_-;_-&quot;$&quot;\ * &quot;-&quot;??_-;_-@"/>
    <numFmt numFmtId="170" formatCode="_-&quot;$&quot;\ * #,##0.0_-;\-&quot;$&quot;\ * #,##0.0_-;_-&quot;$&quot;\ * &quot;-&quot;?_-;_-@"/>
    <numFmt numFmtId="171" formatCode="_-&quot;$&quot;\ * #,##0.00_-;\-&quot;$&quot;\ * #,##0.00_-;_-&quot;$&quot;\ * &quot;-&quot;??_-;_-@"/>
    <numFmt numFmtId="172" formatCode="_-&quot;$&quot;\ * #,##0.00_-;\-&quot;$&quot;\ * #,##0.00_-;_-&quot;$&quot;\ * &quot;-&quot;?_-;_-@"/>
    <numFmt numFmtId="173" formatCode="_(&quot;$&quot;\ * #,##0.00_);_(&quot;$&quot;\ * \(#,##0.00\);_(&quot;$&quot;\ * &quot;-&quot;??_);_(@_)"/>
    <numFmt numFmtId="174" formatCode="_(&quot;$&quot;\ * #,##0_);_(&quot;$&quot;\ * \(#,##0\);_(&quot;$&quot;\ * &quot;-&quot;??_);_(@_)"/>
    <numFmt numFmtId="175" formatCode="_-&quot;$&quot;* #,##0.00_-;\-&quot;$&quot;* #,##0.00_-;_-&quot;$&quot;* &quot;-&quot;??_-;_-@"/>
    <numFmt numFmtId="176" formatCode="_-&quot;$&quot;\ * #,##0_-;\-&quot;$&quot;\ * #,##0_-;_-&quot;$&quot;\ * &quot;-&quot;??_-;_-@_-"/>
    <numFmt numFmtId="177" formatCode="&quot;$&quot;\ #,##0.00"/>
  </numFmts>
  <fonts count="49"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ont>
    <font>
      <sz val="12"/>
      <color rgb="FF00417E"/>
      <name val="Century Gothic"/>
    </font>
    <font>
      <b/>
      <sz val="12"/>
      <color rgb="FF00417E"/>
      <name val="Century Gothic"/>
    </font>
    <font>
      <sz val="11"/>
      <name val="Arial"/>
    </font>
    <font>
      <i/>
      <sz val="11"/>
      <color theme="1"/>
      <name val="Arial"/>
    </font>
    <font>
      <sz val="11"/>
      <color theme="1"/>
      <name val="Bookman Old Style"/>
    </font>
    <font>
      <sz val="11"/>
      <color theme="1"/>
      <name val="Arial"/>
      <scheme val="minor"/>
    </font>
    <font>
      <sz val="11"/>
      <color rgb="FFFF0000"/>
      <name val="Bookman Old Style"/>
    </font>
    <font>
      <sz val="11"/>
      <color rgb="FF44546A"/>
      <name val="Bookman Old Style"/>
    </font>
    <font>
      <sz val="11"/>
      <color rgb="FF000000"/>
      <name val="Bookman Old Style"/>
    </font>
    <font>
      <b/>
      <sz val="11"/>
      <color rgb="FFFF0000"/>
      <name val="Bookman Old Style"/>
    </font>
    <font>
      <b/>
      <sz val="11"/>
      <color rgb="FF44546A"/>
      <name val="Bookman Old Style"/>
    </font>
    <font>
      <b/>
      <sz val="11"/>
      <color theme="1"/>
      <name val="Bookman Old Style"/>
    </font>
    <font>
      <sz val="11"/>
      <color theme="0"/>
      <name val="Arial"/>
    </font>
    <font>
      <sz val="11"/>
      <color theme="1"/>
      <name val="Calibri"/>
    </font>
    <font>
      <b/>
      <sz val="11"/>
      <color theme="1"/>
      <name val="Calibri"/>
    </font>
    <font>
      <sz val="11"/>
      <color rgb="FFFF0000"/>
      <name val="Calibri"/>
    </font>
    <font>
      <b/>
      <sz val="8"/>
      <color rgb="FF004184"/>
      <name val="Tahoma"/>
    </font>
    <font>
      <sz val="8"/>
      <color rgb="FF404040"/>
      <name val="Tahoma"/>
    </font>
    <font>
      <sz val="8"/>
      <color rgb="FF009D00"/>
      <name val="Tahoma"/>
    </font>
    <font>
      <sz val="8"/>
      <color rgb="FF505050"/>
      <name val="Tahoma"/>
    </font>
    <font>
      <sz val="11"/>
      <color rgb="FFFF0000"/>
      <name val="Bookman Old Style"/>
      <family val="1"/>
    </font>
    <font>
      <sz val="11"/>
      <color theme="1"/>
      <name val="Bookman Old Style"/>
      <family val="1"/>
    </font>
    <font>
      <sz val="11"/>
      <color theme="0"/>
      <name val="Arial"/>
      <family val="2"/>
      <scheme val="minor"/>
    </font>
    <font>
      <b/>
      <sz val="10"/>
      <color rgb="FFFFFFFF"/>
      <name val="Arial"/>
      <family val="2"/>
    </font>
    <font>
      <sz val="10"/>
      <color theme="1"/>
      <name val="Arial"/>
      <family val="2"/>
      <scheme val="minor"/>
    </font>
    <font>
      <sz val="10"/>
      <color rgb="FF000000"/>
      <name val="Arial"/>
      <family val="2"/>
    </font>
    <font>
      <sz val="11"/>
      <name val="Calibri"/>
      <family val="2"/>
    </font>
    <font>
      <sz val="7"/>
      <color rgb="FF000000"/>
      <name val="Calibri"/>
      <family val="2"/>
    </font>
    <font>
      <sz val="9"/>
      <color rgb="FF000000"/>
      <name val="Arial"/>
      <family val="2"/>
    </font>
    <font>
      <sz val="8"/>
      <color rgb="FF000000"/>
      <name val="Arial"/>
      <family val="2"/>
    </font>
    <font>
      <b/>
      <sz val="9"/>
      <color rgb="FFFFFFFF"/>
      <name val="Arial"/>
      <family val="2"/>
    </font>
    <font>
      <sz val="9"/>
      <name val="Calibri"/>
      <family val="2"/>
    </font>
    <font>
      <b/>
      <sz val="10"/>
      <color theme="0"/>
      <name val="Arial"/>
      <family val="2"/>
      <scheme val="major"/>
    </font>
    <font>
      <sz val="10"/>
      <name val="Arial"/>
      <family val="2"/>
      <scheme val="major"/>
    </font>
    <font>
      <sz val="9"/>
      <color theme="1"/>
      <name val="Times New Roman"/>
      <family val="1"/>
    </font>
    <font>
      <sz val="2.5"/>
      <color theme="1"/>
      <name val="Times New Roman"/>
      <family val="1"/>
    </font>
    <font>
      <b/>
      <sz val="9"/>
      <color theme="1"/>
      <name val="Arial"/>
      <family val="2"/>
    </font>
    <font>
      <sz val="9"/>
      <color theme="1"/>
      <name val="Arial"/>
      <family val="2"/>
    </font>
    <font>
      <b/>
      <u/>
      <sz val="9"/>
      <color theme="1"/>
      <name val="Arial"/>
      <family val="2"/>
    </font>
    <font>
      <i/>
      <sz val="9"/>
      <color theme="1"/>
      <name val="Arial"/>
      <family val="2"/>
    </font>
  </fonts>
  <fills count="26">
    <fill>
      <patternFill patternType="none"/>
    </fill>
    <fill>
      <patternFill patternType="gray125"/>
    </fill>
    <fill>
      <patternFill patternType="solid">
        <fgColor rgb="FFFFFFFF"/>
        <bgColor rgb="FFFFFFFF"/>
      </patternFill>
    </fill>
    <fill>
      <patternFill patternType="solid">
        <fgColor rgb="FFFBE4D5"/>
        <bgColor rgb="FFFBE4D5"/>
      </patternFill>
    </fill>
    <fill>
      <patternFill patternType="solid">
        <fgColor rgb="FFFFFF00"/>
        <bgColor rgb="FFFFFF00"/>
      </patternFill>
    </fill>
    <fill>
      <patternFill patternType="solid">
        <fgColor rgb="FF92D050"/>
        <bgColor rgb="FF92D050"/>
      </patternFill>
    </fill>
    <fill>
      <patternFill patternType="solid">
        <fgColor rgb="FFE2EFD9"/>
        <bgColor rgb="FFE2EFD9"/>
      </patternFill>
    </fill>
    <fill>
      <patternFill patternType="solid">
        <fgColor theme="0"/>
        <bgColor theme="0"/>
      </patternFill>
    </fill>
    <fill>
      <patternFill patternType="solid">
        <fgColor rgb="FFC5E0B3"/>
        <bgColor rgb="FFC5E0B3"/>
      </patternFill>
    </fill>
    <fill>
      <patternFill patternType="solid">
        <fgColor rgb="FFD9E2F3"/>
        <bgColor rgb="FFD9E2F3"/>
      </patternFill>
    </fill>
    <fill>
      <patternFill patternType="solid">
        <fgColor rgb="FFA8D08D"/>
        <bgColor rgb="FFA8D08D"/>
      </patternFill>
    </fill>
    <fill>
      <patternFill patternType="solid">
        <fgColor rgb="FF002060"/>
        <bgColor rgb="FF002060"/>
      </patternFill>
    </fill>
    <fill>
      <patternFill patternType="solid">
        <fgColor rgb="FFFEF2CB"/>
        <bgColor rgb="FFFEF2CB"/>
      </patternFill>
    </fill>
    <fill>
      <patternFill patternType="solid">
        <fgColor rgb="FFDEEAF6"/>
        <bgColor rgb="FFDEEAF6"/>
      </patternFill>
    </fill>
    <fill>
      <patternFill patternType="solid">
        <fgColor rgb="FFD3E9FF"/>
        <bgColor rgb="FFD3E9FF"/>
      </patternFill>
    </fill>
    <fill>
      <patternFill patternType="solid">
        <fgColor rgb="FFEAEAEA"/>
        <bgColor rgb="FFEAEAEA"/>
      </patternFill>
    </fill>
    <fill>
      <patternFill patternType="solid">
        <fgColor rgb="FF92D050"/>
        <bgColor indexed="64"/>
      </patternFill>
    </fill>
    <fill>
      <patternFill patternType="solid">
        <fgColor rgb="FF92D050"/>
        <bgColor rgb="FFFFFF00"/>
      </patternFill>
    </fill>
    <fill>
      <patternFill patternType="solid">
        <fgColor theme="9" tint="0.79998168889431442"/>
        <bgColor indexed="64"/>
      </patternFill>
    </fill>
    <fill>
      <patternFill patternType="solid">
        <fgColor rgb="FFFFFF00"/>
        <bgColor rgb="FF92D050"/>
      </patternFill>
    </fill>
    <fill>
      <patternFill patternType="solid">
        <fgColor rgb="FFFFFF00"/>
        <bgColor indexed="64"/>
      </patternFill>
    </fill>
    <fill>
      <patternFill patternType="solid">
        <fgColor theme="2"/>
        <bgColor indexed="64"/>
      </patternFill>
    </fill>
    <fill>
      <patternFill patternType="solid">
        <fgColor rgb="FF002060"/>
        <bgColor indexed="64"/>
      </patternFill>
    </fill>
    <fill>
      <patternFill patternType="solid">
        <fgColor rgb="FF00B050"/>
        <bgColor indexed="64"/>
      </patternFill>
    </fill>
    <fill>
      <patternFill patternType="solid">
        <fgColor theme="9" tint="-0.499984740745262"/>
        <bgColor rgb="FF000000"/>
      </patternFill>
    </fill>
    <fill>
      <patternFill patternType="solid">
        <fgColor theme="4" tint="0.79998168889431442"/>
        <bgColor indexed="64"/>
      </patternFill>
    </fill>
  </fills>
  <borders count="60">
    <border>
      <left/>
      <right/>
      <top/>
      <bottom/>
      <diagonal/>
    </border>
    <border>
      <left/>
      <right/>
      <top style="medium">
        <color rgb="FFE9ECEF"/>
      </top>
      <bottom/>
      <diagonal/>
    </border>
    <border>
      <left/>
      <right/>
      <top/>
      <bottom/>
      <diagonal/>
    </border>
    <border>
      <left/>
      <right/>
      <top style="medium">
        <color rgb="FFE9ECEF"/>
      </top>
      <bottom/>
      <diagonal/>
    </border>
    <border>
      <left/>
      <right/>
      <top/>
      <bottom style="thick">
        <color rgb="FFE9ECEF"/>
      </bottom>
      <diagonal/>
    </border>
    <border>
      <left/>
      <right/>
      <top/>
      <bottom style="thick">
        <color rgb="FFE9ECEF"/>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style="medium">
        <color indexed="64"/>
      </left>
      <right style="medium">
        <color rgb="FF000000"/>
      </right>
      <top/>
      <bottom style="medium">
        <color rgb="FF000000"/>
      </bottom>
      <diagonal/>
    </border>
  </borders>
  <cellStyleXfs count="2">
    <xf numFmtId="0" fontId="0" fillId="0" borderId="0"/>
    <xf numFmtId="44" fontId="14" fillId="0" borderId="0" applyFont="0" applyFill="0" applyBorder="0" applyAlignment="0" applyProtection="0"/>
  </cellStyleXfs>
  <cellXfs count="359">
    <xf numFmtId="0" fontId="0" fillId="0" borderId="0" xfId="0" applyFont="1" applyAlignment="1"/>
    <xf numFmtId="0" fontId="8" fillId="0" borderId="0" xfId="0" applyFont="1"/>
    <xf numFmtId="164" fontId="8" fillId="0" borderId="0" xfId="0" applyNumberFormat="1" applyFont="1"/>
    <xf numFmtId="165"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64" fontId="9" fillId="2" borderId="2" xfId="0" applyNumberFormat="1" applyFont="1" applyFill="1" applyBorder="1" applyAlignment="1">
      <alignment horizontal="center" vertical="top" wrapText="1"/>
    </xf>
    <xf numFmtId="0" fontId="10" fillId="2" borderId="1" xfId="0" applyFont="1" applyFill="1" applyBorder="1" applyAlignment="1">
      <alignment horizontal="center" wrapText="1"/>
    </xf>
    <xf numFmtId="164" fontId="10" fillId="2" borderId="1" xfId="0" applyNumberFormat="1" applyFont="1" applyFill="1" applyBorder="1" applyAlignment="1">
      <alignment horizontal="center" wrapText="1"/>
    </xf>
    <xf numFmtId="0" fontId="10" fillId="2" borderId="4" xfId="0" applyFont="1" applyFill="1" applyBorder="1" applyAlignment="1">
      <alignment horizontal="center" wrapText="1"/>
    </xf>
    <xf numFmtId="164" fontId="10" fillId="2" borderId="4" xfId="0" applyNumberFormat="1" applyFont="1" applyFill="1" applyBorder="1" applyAlignment="1">
      <alignment horizontal="center" wrapText="1"/>
    </xf>
    <xf numFmtId="6" fontId="9" fillId="2" borderId="1" xfId="0" applyNumberFormat="1" applyFont="1" applyFill="1" applyBorder="1" applyAlignment="1">
      <alignment horizontal="center" vertical="top" wrapText="1"/>
    </xf>
    <xf numFmtId="0" fontId="12" fillId="0" borderId="0" xfId="0" applyFont="1"/>
    <xf numFmtId="164" fontId="8" fillId="0" borderId="0" xfId="0" applyNumberFormat="1" applyFont="1" applyAlignment="1">
      <alignment horizontal="center"/>
    </xf>
    <xf numFmtId="6" fontId="8" fillId="0" borderId="0" xfId="0" applyNumberFormat="1" applyFont="1" applyAlignment="1">
      <alignment horizontal="center"/>
    </xf>
    <xf numFmtId="0" fontId="8" fillId="0" borderId="0" xfId="0" applyFont="1" applyAlignment="1">
      <alignment horizontal="center"/>
    </xf>
    <xf numFmtId="0" fontId="13" fillId="0" borderId="0" xfId="0" applyFont="1"/>
    <xf numFmtId="0" fontId="13" fillId="0" borderId="0" xfId="0" applyFont="1" applyAlignment="1">
      <alignment horizontal="center"/>
    </xf>
    <xf numFmtId="0" fontId="14" fillId="0" borderId="0" xfId="0" applyFont="1" applyAlignment="1"/>
    <xf numFmtId="166" fontId="8" fillId="0" borderId="0" xfId="0" applyNumberFormat="1" applyFont="1" applyAlignment="1">
      <alignment horizontal="center"/>
    </xf>
    <xf numFmtId="1" fontId="13" fillId="0" borderId="0" xfId="0" applyNumberFormat="1" applyFont="1" applyAlignment="1">
      <alignment horizontal="center"/>
    </xf>
    <xf numFmtId="1" fontId="8" fillId="0" borderId="0" xfId="0" applyNumberFormat="1" applyFont="1"/>
    <xf numFmtId="1" fontId="13" fillId="0" borderId="0" xfId="0" applyNumberFormat="1" applyFont="1" applyAlignment="1">
      <alignment horizontal="center"/>
    </xf>
    <xf numFmtId="164" fontId="13" fillId="0" borderId="0" xfId="0" applyNumberFormat="1" applyFont="1"/>
    <xf numFmtId="1" fontId="13" fillId="0" borderId="0" xfId="0" applyNumberFormat="1" applyFont="1"/>
    <xf numFmtId="0" fontId="13" fillId="4" borderId="2" xfId="0" applyFont="1" applyFill="1" applyBorder="1"/>
    <xf numFmtId="0" fontId="15" fillId="4" borderId="2" xfId="0" applyFont="1" applyFill="1" applyBorder="1"/>
    <xf numFmtId="0" fontId="13" fillId="0" borderId="0" xfId="0" applyFont="1" applyAlignment="1">
      <alignment horizontal="left"/>
    </xf>
    <xf numFmtId="0" fontId="13" fillId="5" borderId="2" xfId="0" applyFont="1" applyFill="1" applyBorder="1"/>
    <xf numFmtId="0" fontId="13" fillId="0" borderId="0" xfId="0" applyFont="1" applyAlignment="1">
      <alignment horizontal="right"/>
    </xf>
    <xf numFmtId="1" fontId="13" fillId="5" borderId="2" xfId="0" applyNumberFormat="1" applyFont="1" applyFill="1" applyBorder="1"/>
    <xf numFmtId="1" fontId="13" fillId="5" borderId="0" xfId="0" applyNumberFormat="1" applyFont="1" applyFill="1"/>
    <xf numFmtId="16" fontId="13" fillId="0" borderId="0" xfId="0" applyNumberFormat="1" applyFont="1"/>
    <xf numFmtId="1" fontId="13" fillId="0" borderId="0" xfId="0" applyNumberFormat="1" applyFont="1" applyAlignment="1"/>
    <xf numFmtId="1" fontId="8" fillId="0" borderId="0" xfId="0" applyNumberFormat="1" applyFont="1" applyAlignment="1">
      <alignment horizontal="center"/>
    </xf>
    <xf numFmtId="1" fontId="13" fillId="5" borderId="0" xfId="0" applyNumberFormat="1" applyFont="1" applyFill="1" applyAlignment="1"/>
    <xf numFmtId="1" fontId="13" fillId="4" borderId="2" xfId="0" applyNumberFormat="1" applyFont="1" applyFill="1" applyBorder="1"/>
    <xf numFmtId="1" fontId="8" fillId="0" borderId="0" xfId="0" applyNumberFormat="1" applyFont="1" applyAlignment="1">
      <alignment horizontal="left"/>
    </xf>
    <xf numFmtId="0" fontId="8" fillId="5" borderId="2" xfId="0" applyFont="1" applyFill="1" applyBorder="1"/>
    <xf numFmtId="0" fontId="16" fillId="4" borderId="2" xfId="0" applyFont="1" applyFill="1" applyBorder="1"/>
    <xf numFmtId="165" fontId="13" fillId="0" borderId="0" xfId="0" applyNumberFormat="1" applyFont="1"/>
    <xf numFmtId="1" fontId="13" fillId="5" borderId="2" xfId="0" applyNumberFormat="1" applyFont="1" applyFill="1" applyBorder="1" applyAlignment="1"/>
    <xf numFmtId="0" fontId="17" fillId="5" borderId="2" xfId="0" applyFont="1" applyFill="1" applyBorder="1"/>
    <xf numFmtId="0" fontId="18" fillId="4" borderId="2" xfId="0" applyFont="1" applyFill="1" applyBorder="1"/>
    <xf numFmtId="0" fontId="17" fillId="4" borderId="2" xfId="0" applyFont="1" applyFill="1" applyBorder="1"/>
    <xf numFmtId="1" fontId="8" fillId="5" borderId="2" xfId="0" applyNumberFormat="1" applyFont="1" applyFill="1" applyBorder="1"/>
    <xf numFmtId="1" fontId="8" fillId="0" borderId="0" xfId="0" applyNumberFormat="1" applyFont="1" applyAlignment="1">
      <alignment horizontal="right"/>
    </xf>
    <xf numFmtId="0" fontId="17" fillId="0" borderId="0" xfId="0" applyFont="1"/>
    <xf numFmtId="1" fontId="13" fillId="0" borderId="0" xfId="0" applyNumberFormat="1" applyFont="1" applyAlignment="1">
      <alignment horizontal="left"/>
    </xf>
    <xf numFmtId="0" fontId="19" fillId="0" borderId="0" xfId="0" applyFont="1"/>
    <xf numFmtId="0" fontId="20" fillId="0" borderId="0" xfId="0" applyFont="1"/>
    <xf numFmtId="1" fontId="20" fillId="0" borderId="0" xfId="0" applyNumberFormat="1" applyFont="1"/>
    <xf numFmtId="0" fontId="13" fillId="6" borderId="2" xfId="0" applyFont="1" applyFill="1" applyBorder="1"/>
    <xf numFmtId="0" fontId="15" fillId="6" borderId="2" xfId="0" applyFont="1" applyFill="1" applyBorder="1"/>
    <xf numFmtId="164" fontId="13" fillId="0" borderId="0" xfId="0" applyNumberFormat="1" applyFont="1" applyAlignment="1">
      <alignment horizontal="center"/>
    </xf>
    <xf numFmtId="0" fontId="15" fillId="0" borderId="0" xfId="0" applyFont="1"/>
    <xf numFmtId="1" fontId="15" fillId="0" borderId="0" xfId="0" applyNumberFormat="1" applyFont="1"/>
    <xf numFmtId="1" fontId="8" fillId="0" borderId="0" xfId="0" applyNumberFormat="1" applyFont="1" applyAlignment="1"/>
    <xf numFmtId="0" fontId="13" fillId="7" borderId="2" xfId="0" applyFont="1" applyFill="1" applyBorder="1"/>
    <xf numFmtId="1" fontId="17" fillId="0" borderId="0" xfId="0" applyNumberFormat="1" applyFont="1"/>
    <xf numFmtId="0" fontId="13" fillId="5" borderId="2" xfId="0" applyFont="1" applyFill="1" applyBorder="1" applyAlignment="1">
      <alignment horizontal="left"/>
    </xf>
    <xf numFmtId="0" fontId="17" fillId="5" borderId="2" xfId="0" applyFont="1" applyFill="1" applyBorder="1" applyAlignment="1">
      <alignment horizontal="right"/>
    </xf>
    <xf numFmtId="0" fontId="13" fillId="5" borderId="2" xfId="0" applyFont="1" applyFill="1" applyBorder="1" applyAlignment="1"/>
    <xf numFmtId="0" fontId="17" fillId="5" borderId="2" xfId="0" applyFont="1" applyFill="1" applyBorder="1" applyAlignment="1"/>
    <xf numFmtId="164" fontId="15" fillId="0" borderId="0" xfId="0" applyNumberFormat="1" applyFont="1"/>
    <xf numFmtId="0" fontId="20" fillId="4" borderId="2" xfId="0" applyFont="1" applyFill="1" applyBorder="1"/>
    <xf numFmtId="165" fontId="13" fillId="4" borderId="2" xfId="0" applyNumberFormat="1" applyFont="1" applyFill="1" applyBorder="1" applyAlignment="1">
      <alignment horizontal="left"/>
    </xf>
    <xf numFmtId="167" fontId="13" fillId="0" borderId="0" xfId="0" applyNumberFormat="1" applyFont="1"/>
    <xf numFmtId="1" fontId="13" fillId="5" borderId="2" xfId="0" applyNumberFormat="1" applyFont="1" applyFill="1" applyBorder="1" applyAlignment="1">
      <alignment horizontal="left"/>
    </xf>
    <xf numFmtId="0" fontId="13" fillId="8" borderId="2" xfId="0" applyFont="1" applyFill="1" applyBorder="1"/>
    <xf numFmtId="0" fontId="8" fillId="8" borderId="2" xfId="0" applyFont="1" applyFill="1" applyBorder="1"/>
    <xf numFmtId="16" fontId="13" fillId="5" borderId="2" xfId="0" applyNumberFormat="1" applyFont="1" applyFill="1" applyBorder="1" applyAlignment="1">
      <alignment horizontal="left"/>
    </xf>
    <xf numFmtId="0" fontId="13" fillId="9" borderId="2" xfId="0" applyFont="1" applyFill="1" applyBorder="1"/>
    <xf numFmtId="1" fontId="13" fillId="9" borderId="2" xfId="0" applyNumberFormat="1" applyFont="1" applyFill="1" applyBorder="1"/>
    <xf numFmtId="0" fontId="13" fillId="4" borderId="2" xfId="0" applyFont="1" applyFill="1" applyBorder="1" applyAlignment="1">
      <alignment horizontal="left"/>
    </xf>
    <xf numFmtId="0" fontId="13" fillId="10" borderId="2" xfId="0" applyFont="1" applyFill="1" applyBorder="1"/>
    <xf numFmtId="16" fontId="13" fillId="4" borderId="2" xfId="0" applyNumberFormat="1" applyFont="1" applyFill="1" applyBorder="1" applyAlignment="1">
      <alignment horizontal="left"/>
    </xf>
    <xf numFmtId="0" fontId="8" fillId="0" borderId="0" xfId="0" applyFont="1" applyAlignment="1">
      <alignment horizontal="left"/>
    </xf>
    <xf numFmtId="16" fontId="13" fillId="5" borderId="2" xfId="0" applyNumberFormat="1" applyFont="1" applyFill="1" applyBorder="1"/>
    <xf numFmtId="165" fontId="13" fillId="4" borderId="2" xfId="0" applyNumberFormat="1" applyFont="1" applyFill="1" applyBorder="1"/>
    <xf numFmtId="168" fontId="8" fillId="0" borderId="0" xfId="0" applyNumberFormat="1" applyFont="1"/>
    <xf numFmtId="169" fontId="8" fillId="0" borderId="0" xfId="0" applyNumberFormat="1" applyFont="1"/>
    <xf numFmtId="167" fontId="8" fillId="0" borderId="0" xfId="0" applyNumberFormat="1" applyFont="1" applyAlignment="1">
      <alignment horizontal="right"/>
    </xf>
    <xf numFmtId="167" fontId="8" fillId="0" borderId="0" xfId="0" applyNumberFormat="1" applyFont="1"/>
    <xf numFmtId="168" fontId="8" fillId="5" borderId="2" xfId="0" applyNumberFormat="1" applyFont="1" applyFill="1" applyBorder="1"/>
    <xf numFmtId="0" fontId="14" fillId="5" borderId="0" xfId="0" applyFont="1" applyFill="1" applyAlignment="1"/>
    <xf numFmtId="170" fontId="8" fillId="0" borderId="0" xfId="0" applyNumberFormat="1" applyFont="1"/>
    <xf numFmtId="0" fontId="14" fillId="0" borderId="0" xfId="0" applyFont="1"/>
    <xf numFmtId="0" fontId="8" fillId="0" borderId="0" xfId="0" applyFont="1" applyAlignment="1">
      <alignment horizontal="right"/>
    </xf>
    <xf numFmtId="9" fontId="8" fillId="0" borderId="0" xfId="0" applyNumberFormat="1" applyFont="1"/>
    <xf numFmtId="167" fontId="13" fillId="0" borderId="0" xfId="0" applyNumberFormat="1" applyFont="1" applyAlignment="1">
      <alignment horizontal="left"/>
    </xf>
    <xf numFmtId="171" fontId="13" fillId="0" borderId="0" xfId="0" applyNumberFormat="1" applyFont="1"/>
    <xf numFmtId="9" fontId="13" fillId="0" borderId="0" xfId="0" applyNumberFormat="1" applyFont="1"/>
    <xf numFmtId="16" fontId="15" fillId="4" borderId="2" xfId="0" applyNumberFormat="1" applyFont="1" applyFill="1" applyBorder="1" applyAlignment="1">
      <alignment horizontal="left"/>
    </xf>
    <xf numFmtId="0" fontId="21" fillId="11" borderId="8" xfId="0" applyFont="1" applyFill="1" applyBorder="1" applyAlignment="1">
      <alignment horizontal="center"/>
    </xf>
    <xf numFmtId="10" fontId="13" fillId="0" borderId="0" xfId="0" applyNumberFormat="1" applyFont="1"/>
    <xf numFmtId="0" fontId="8" fillId="0" borderId="8" xfId="0" applyFont="1" applyBorder="1"/>
    <xf numFmtId="167" fontId="8" fillId="0" borderId="8" xfId="0" applyNumberFormat="1" applyFont="1" applyBorder="1"/>
    <xf numFmtId="172" fontId="8" fillId="0" borderId="0" xfId="0" applyNumberFormat="1" applyFont="1"/>
    <xf numFmtId="171" fontId="8" fillId="0" borderId="0" xfId="0" applyNumberFormat="1" applyFont="1"/>
    <xf numFmtId="10" fontId="8" fillId="0" borderId="0" xfId="0" applyNumberFormat="1" applyFont="1"/>
    <xf numFmtId="0" fontId="13" fillId="3" borderId="2" xfId="0" applyFont="1" applyFill="1" applyBorder="1"/>
    <xf numFmtId="0" fontId="22" fillId="0" borderId="9" xfId="0" applyFont="1" applyBorder="1"/>
    <xf numFmtId="0" fontId="22" fillId="0" borderId="10" xfId="0" applyFont="1" applyBorder="1"/>
    <xf numFmtId="0" fontId="22" fillId="0" borderId="0" xfId="0" applyFont="1"/>
    <xf numFmtId="0" fontId="22" fillId="0" borderId="11" xfId="0" applyFont="1" applyBorder="1" applyAlignment="1">
      <alignment horizontal="center"/>
    </xf>
    <xf numFmtId="0" fontId="22" fillId="0" borderId="12" xfId="0" applyFont="1" applyBorder="1" applyAlignment="1">
      <alignment horizontal="center"/>
    </xf>
    <xf numFmtId="0" fontId="22" fillId="0" borderId="8" xfId="0" applyFont="1" applyBorder="1"/>
    <xf numFmtId="173" fontId="22" fillId="0" borderId="8" xfId="0" applyNumberFormat="1" applyFont="1" applyBorder="1"/>
    <xf numFmtId="173" fontId="22" fillId="0" borderId="0" xfId="0" applyNumberFormat="1" applyFont="1"/>
    <xf numFmtId="173" fontId="22" fillId="0" borderId="17" xfId="0" applyNumberFormat="1" applyFont="1" applyBorder="1"/>
    <xf numFmtId="173" fontId="22" fillId="0" borderId="18" xfId="0" applyNumberFormat="1" applyFont="1" applyBorder="1"/>
    <xf numFmtId="0" fontId="22" fillId="0" borderId="17" xfId="0" applyFont="1" applyBorder="1"/>
    <xf numFmtId="0" fontId="22" fillId="0" borderId="18" xfId="0" applyFont="1" applyBorder="1"/>
    <xf numFmtId="0" fontId="22" fillId="0" borderId="17" xfId="0" applyFont="1" applyBorder="1" applyAlignment="1">
      <alignment horizontal="center"/>
    </xf>
    <xf numFmtId="174" fontId="22" fillId="0" borderId="18" xfId="0" applyNumberFormat="1" applyFont="1" applyBorder="1"/>
    <xf numFmtId="0" fontId="22" fillId="0" borderId="19" xfId="0" applyFont="1" applyBorder="1"/>
    <xf numFmtId="173" fontId="22" fillId="0" borderId="19" xfId="0" applyNumberFormat="1" applyFont="1" applyBorder="1"/>
    <xf numFmtId="0" fontId="22" fillId="0" borderId="9" xfId="0" applyFont="1" applyBorder="1" applyAlignment="1">
      <alignment horizontal="center"/>
    </xf>
    <xf numFmtId="173" fontId="22" fillId="0" borderId="20" xfId="0" applyNumberFormat="1" applyFont="1" applyBorder="1"/>
    <xf numFmtId="0" fontId="22" fillId="6" borderId="21" xfId="0" applyFont="1" applyFill="1" applyBorder="1" applyAlignment="1">
      <alignment horizontal="center"/>
    </xf>
    <xf numFmtId="173" fontId="22" fillId="6" borderId="22" xfId="0" applyNumberFormat="1" applyFont="1" applyFill="1" applyBorder="1"/>
    <xf numFmtId="0" fontId="22" fillId="9" borderId="21" xfId="0" applyFont="1" applyFill="1" applyBorder="1" applyAlignment="1">
      <alignment horizontal="center"/>
    </xf>
    <xf numFmtId="173" fontId="22" fillId="9" borderId="22" xfId="0" applyNumberFormat="1" applyFont="1" applyFill="1" applyBorder="1"/>
    <xf numFmtId="174" fontId="22" fillId="0" borderId="0" xfId="0" applyNumberFormat="1" applyFont="1"/>
    <xf numFmtId="0" fontId="22" fillId="0" borderId="0" xfId="0" applyFont="1" applyAlignment="1">
      <alignment horizontal="center"/>
    </xf>
    <xf numFmtId="0" fontId="22" fillId="0" borderId="11" xfId="0" applyFont="1" applyBorder="1"/>
    <xf numFmtId="174" fontId="22" fillId="0" borderId="12" xfId="0" applyNumberFormat="1" applyFont="1" applyBorder="1"/>
    <xf numFmtId="174" fontId="22" fillId="6" borderId="21" xfId="0" applyNumberFormat="1" applyFont="1" applyFill="1" applyBorder="1"/>
    <xf numFmtId="174" fontId="22" fillId="6" borderId="22" xfId="0" applyNumberFormat="1" applyFont="1" applyFill="1" applyBorder="1"/>
    <xf numFmtId="0" fontId="22" fillId="13" borderId="21" xfId="0" applyFont="1" applyFill="1" applyBorder="1"/>
    <xf numFmtId="174" fontId="22" fillId="13" borderId="22" xfId="0" applyNumberFormat="1" applyFont="1" applyFill="1" applyBorder="1"/>
    <xf numFmtId="0" fontId="22" fillId="12" borderId="21" xfId="0" applyFont="1" applyFill="1" applyBorder="1" applyAlignment="1">
      <alignment horizontal="center"/>
    </xf>
    <xf numFmtId="174" fontId="22" fillId="12" borderId="22" xfId="0" applyNumberFormat="1" applyFont="1" applyFill="1" applyBorder="1"/>
    <xf numFmtId="0" fontId="22" fillId="6" borderId="21" xfId="0" applyFont="1" applyFill="1" applyBorder="1"/>
    <xf numFmtId="0" fontId="22" fillId="9" borderId="21" xfId="0" applyFont="1" applyFill="1" applyBorder="1"/>
    <xf numFmtId="174" fontId="22" fillId="9" borderId="22" xfId="0" applyNumberFormat="1" applyFont="1" applyFill="1" applyBorder="1"/>
    <xf numFmtId="0" fontId="22" fillId="0" borderId="23" xfId="0" applyFont="1" applyBorder="1"/>
    <xf numFmtId="173" fontId="22" fillId="0" borderId="24" xfId="0" applyNumberFormat="1" applyFont="1" applyBorder="1"/>
    <xf numFmtId="0" fontId="23" fillId="0" borderId="9" xfId="0" applyFont="1" applyBorder="1"/>
    <xf numFmtId="0" fontId="23" fillId="0" borderId="10" xfId="0" applyFont="1" applyBorder="1"/>
    <xf numFmtId="0" fontId="23" fillId="0" borderId="20" xfId="0" applyFont="1" applyBorder="1"/>
    <xf numFmtId="0" fontId="22" fillId="6" borderId="25" xfId="0" applyFont="1" applyFill="1" applyBorder="1"/>
    <xf numFmtId="174" fontId="22" fillId="6" borderId="26" xfId="0" applyNumberFormat="1" applyFont="1" applyFill="1" applyBorder="1"/>
    <xf numFmtId="0" fontId="22" fillId="9" borderId="25" xfId="0" applyFont="1" applyFill="1" applyBorder="1"/>
    <xf numFmtId="174" fontId="22" fillId="9" borderId="26" xfId="0" applyNumberFormat="1" applyFont="1" applyFill="1" applyBorder="1"/>
    <xf numFmtId="0" fontId="22" fillId="12" borderId="25" xfId="0" applyFont="1" applyFill="1" applyBorder="1" applyAlignment="1">
      <alignment horizontal="center"/>
    </xf>
    <xf numFmtId="174" fontId="22" fillId="12" borderId="26" xfId="0" applyNumberFormat="1" applyFont="1" applyFill="1" applyBorder="1"/>
    <xf numFmtId="9" fontId="22" fillId="12" borderId="2" xfId="0" applyNumberFormat="1" applyFont="1" applyFill="1" applyBorder="1" applyAlignment="1">
      <alignment horizontal="center"/>
    </xf>
    <xf numFmtId="174" fontId="22" fillId="12" borderId="2" xfId="0" applyNumberFormat="1" applyFont="1" applyFill="1" applyBorder="1"/>
    <xf numFmtId="0" fontId="22" fillId="6" borderId="27" xfId="0" applyFont="1" applyFill="1" applyBorder="1"/>
    <xf numFmtId="174" fontId="23" fillId="6" borderId="28" xfId="0" applyNumberFormat="1" applyFont="1" applyFill="1" applyBorder="1"/>
    <xf numFmtId="0" fontId="23" fillId="9" borderId="27" xfId="0" applyFont="1" applyFill="1" applyBorder="1"/>
    <xf numFmtId="174" fontId="23" fillId="9" borderId="28" xfId="0" applyNumberFormat="1" applyFont="1" applyFill="1" applyBorder="1"/>
    <xf numFmtId="0" fontId="23" fillId="12" borderId="27" xfId="0" applyFont="1" applyFill="1" applyBorder="1" applyAlignment="1">
      <alignment horizontal="center"/>
    </xf>
    <xf numFmtId="174" fontId="23" fillId="12" borderId="28" xfId="0" applyNumberFormat="1" applyFont="1" applyFill="1" applyBorder="1"/>
    <xf numFmtId="0" fontId="22" fillId="5" borderId="2" xfId="0" applyFont="1" applyFill="1" applyBorder="1" applyAlignment="1">
      <alignment horizontal="center"/>
    </xf>
    <xf numFmtId="0" fontId="23" fillId="0" borderId="0" xfId="0" applyFont="1" applyAlignment="1">
      <alignment horizontal="right"/>
    </xf>
    <xf numFmtId="174" fontId="8" fillId="0" borderId="0" xfId="0" applyNumberFormat="1" applyFont="1"/>
    <xf numFmtId="0" fontId="23" fillId="0" borderId="10" xfId="0" applyFont="1" applyBorder="1" applyAlignment="1">
      <alignment horizontal="center"/>
    </xf>
    <xf numFmtId="0" fontId="23" fillId="0" borderId="20" xfId="0" applyFont="1" applyBorder="1" applyAlignment="1">
      <alignment horizontal="center"/>
    </xf>
    <xf numFmtId="0" fontId="23" fillId="0" borderId="0" xfId="0" applyFont="1" applyAlignment="1">
      <alignment horizontal="center"/>
    </xf>
    <xf numFmtId="174" fontId="22" fillId="6" borderId="2" xfId="0" applyNumberFormat="1" applyFont="1" applyFill="1" applyBorder="1"/>
    <xf numFmtId="174" fontId="22" fillId="9" borderId="2" xfId="0" applyNumberFormat="1" applyFont="1" applyFill="1" applyBorder="1"/>
    <xf numFmtId="0" fontId="24" fillId="0" borderId="0" xfId="0" applyFont="1" applyAlignment="1">
      <alignment horizontal="center"/>
    </xf>
    <xf numFmtId="175" fontId="8" fillId="0" borderId="0" xfId="0" applyNumberFormat="1" applyFont="1"/>
    <xf numFmtId="165" fontId="8" fillId="0" borderId="0" xfId="0" applyNumberFormat="1" applyFont="1"/>
    <xf numFmtId="0" fontId="25" fillId="14" borderId="2" xfId="0" applyFont="1" applyFill="1" applyBorder="1" applyAlignment="1">
      <alignment horizontal="left" vertical="center"/>
    </xf>
    <xf numFmtId="0" fontId="25" fillId="14" borderId="2" xfId="0" applyFont="1" applyFill="1" applyBorder="1" applyAlignment="1">
      <alignment horizontal="right" vertical="center"/>
    </xf>
    <xf numFmtId="0" fontId="26" fillId="2" borderId="2"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2" xfId="0" applyFont="1" applyFill="1" applyBorder="1" applyAlignment="1">
      <alignment horizontal="right" vertical="center" wrapText="1"/>
    </xf>
    <xf numFmtId="0" fontId="26" fillId="15" borderId="2" xfId="0" applyFont="1" applyFill="1" applyBorder="1" applyAlignment="1">
      <alignment horizontal="left" vertical="center" wrapText="1"/>
    </xf>
    <xf numFmtId="0" fontId="27" fillId="15" borderId="2" xfId="0" applyFont="1" applyFill="1" applyBorder="1" applyAlignment="1">
      <alignment horizontal="left" vertical="center" wrapText="1"/>
    </xf>
    <xf numFmtId="0" fontId="27" fillId="15" borderId="2" xfId="0" applyFont="1" applyFill="1" applyBorder="1" applyAlignment="1">
      <alignment horizontal="right" vertical="center" wrapText="1"/>
    </xf>
    <xf numFmtId="0" fontId="28" fillId="15" borderId="2" xfId="0" applyFont="1" applyFill="1" applyBorder="1" applyAlignment="1">
      <alignment horizontal="left" vertical="center" wrapText="1"/>
    </xf>
    <xf numFmtId="0" fontId="28" fillId="15" borderId="2" xfId="0" applyFont="1" applyFill="1" applyBorder="1" applyAlignment="1">
      <alignment horizontal="right" vertical="center" wrapText="1"/>
    </xf>
    <xf numFmtId="0" fontId="28" fillId="2" borderId="2" xfId="0" applyFont="1" applyFill="1" applyBorder="1" applyAlignment="1">
      <alignment horizontal="left" vertical="center" wrapText="1"/>
    </xf>
    <xf numFmtId="0" fontId="28" fillId="2" borderId="2" xfId="0" applyFont="1" applyFill="1" applyBorder="1" applyAlignment="1">
      <alignment horizontal="right" vertical="center" wrapText="1"/>
    </xf>
    <xf numFmtId="0" fontId="13" fillId="5" borderId="7" xfId="0" applyFont="1" applyFill="1" applyBorder="1" applyAlignment="1"/>
    <xf numFmtId="16" fontId="13" fillId="5" borderId="7" xfId="0" applyNumberFormat="1" applyFont="1" applyFill="1" applyBorder="1" applyAlignment="1">
      <alignment horizontal="left"/>
    </xf>
    <xf numFmtId="1" fontId="13" fillId="0" borderId="0" xfId="0" applyNumberFormat="1" applyFont="1" applyAlignment="1">
      <alignment horizontal="center"/>
    </xf>
    <xf numFmtId="1" fontId="13" fillId="16" borderId="0" xfId="0" applyNumberFormat="1" applyFont="1" applyFill="1"/>
    <xf numFmtId="1" fontId="13" fillId="16" borderId="0" xfId="0" applyNumberFormat="1" applyFont="1" applyFill="1" applyAlignment="1"/>
    <xf numFmtId="1" fontId="13" fillId="17" borderId="2" xfId="0" applyNumberFormat="1" applyFont="1" applyFill="1" applyBorder="1"/>
    <xf numFmtId="0" fontId="0" fillId="0" borderId="0" xfId="0" applyFont="1" applyAlignment="1"/>
    <xf numFmtId="1" fontId="13" fillId="0" borderId="0" xfId="0" applyNumberFormat="1" applyFont="1" applyAlignment="1">
      <alignment horizontal="center"/>
    </xf>
    <xf numFmtId="0" fontId="13" fillId="16" borderId="0" xfId="0" applyFont="1" applyFill="1"/>
    <xf numFmtId="0" fontId="17" fillId="16" borderId="0" xfId="0" applyFont="1" applyFill="1"/>
    <xf numFmtId="0" fontId="13" fillId="5" borderId="7" xfId="0" applyFont="1" applyFill="1" applyBorder="1"/>
    <xf numFmtId="1" fontId="13" fillId="0" borderId="0" xfId="0" applyNumberFormat="1" applyFont="1" applyAlignment="1">
      <alignment horizontal="center"/>
    </xf>
    <xf numFmtId="1" fontId="13" fillId="0" borderId="0" xfId="0" applyNumberFormat="1" applyFont="1" applyFill="1"/>
    <xf numFmtId="1" fontId="29" fillId="0" borderId="0" xfId="0" applyNumberFormat="1" applyFont="1" applyAlignment="1">
      <alignment horizontal="left"/>
    </xf>
    <xf numFmtId="1" fontId="13" fillId="0" borderId="0" xfId="0" applyNumberFormat="1" applyFont="1" applyAlignment="1">
      <alignment horizontal="center"/>
    </xf>
    <xf numFmtId="1" fontId="13" fillId="0" borderId="2" xfId="0" applyNumberFormat="1" applyFont="1" applyFill="1" applyBorder="1"/>
    <xf numFmtId="0" fontId="0" fillId="0" borderId="0" xfId="0" applyFont="1" applyFill="1" applyAlignment="1"/>
    <xf numFmtId="1" fontId="8" fillId="0" borderId="0" xfId="0" applyNumberFormat="1" applyFont="1" applyFill="1"/>
    <xf numFmtId="0" fontId="0" fillId="16" borderId="0" xfId="0" applyFont="1" applyFill="1" applyAlignment="1"/>
    <xf numFmtId="1" fontId="13" fillId="0" borderId="0" xfId="0" applyNumberFormat="1" applyFont="1" applyAlignment="1">
      <alignment horizontal="center"/>
    </xf>
    <xf numFmtId="0" fontId="0" fillId="0" borderId="0" xfId="0" applyFont="1" applyAlignment="1"/>
    <xf numFmtId="0" fontId="0" fillId="0" borderId="0" xfId="0" applyFont="1" applyAlignment="1"/>
    <xf numFmtId="1" fontId="13" fillId="18" borderId="0" xfId="0" applyNumberFormat="1" applyFont="1" applyFill="1" applyAlignment="1">
      <alignment horizontal="left"/>
    </xf>
    <xf numFmtId="1" fontId="13" fillId="18" borderId="0" xfId="0" applyNumberFormat="1" applyFont="1" applyFill="1"/>
    <xf numFmtId="0" fontId="30" fillId="5" borderId="7" xfId="0" applyFont="1" applyFill="1" applyBorder="1"/>
    <xf numFmtId="0" fontId="30" fillId="19" borderId="7" xfId="0" applyFont="1" applyFill="1" applyBorder="1"/>
    <xf numFmtId="0" fontId="13" fillId="19" borderId="7" xfId="0" applyFont="1" applyFill="1" applyBorder="1"/>
    <xf numFmtId="0" fontId="0" fillId="0" borderId="0" xfId="0" applyFont="1" applyAlignment="1"/>
    <xf numFmtId="0" fontId="0" fillId="0" borderId="0" xfId="0" applyFont="1" applyAlignment="1"/>
    <xf numFmtId="0" fontId="0" fillId="21" borderId="0" xfId="0" applyFont="1" applyFill="1" applyAlignment="1"/>
    <xf numFmtId="0" fontId="7" fillId="21" borderId="0" xfId="0" applyFont="1" applyFill="1" applyAlignment="1"/>
    <xf numFmtId="1" fontId="30" fillId="16" borderId="0" xfId="0" applyNumberFormat="1" applyFont="1" applyFill="1"/>
    <xf numFmtId="0" fontId="7" fillId="16" borderId="0" xfId="0" applyFont="1" applyFill="1" applyAlignment="1"/>
    <xf numFmtId="1" fontId="13" fillId="0" borderId="0" xfId="0" applyNumberFormat="1" applyFont="1" applyAlignment="1">
      <alignment horizontal="right"/>
    </xf>
    <xf numFmtId="0" fontId="6" fillId="16" borderId="0" xfId="0" applyFont="1" applyFill="1" applyAlignment="1"/>
    <xf numFmtId="0" fontId="0" fillId="0" borderId="0" xfId="0" applyFont="1" applyAlignment="1"/>
    <xf numFmtId="1" fontId="30" fillId="0" borderId="0" xfId="0" applyNumberFormat="1" applyFont="1" applyFill="1"/>
    <xf numFmtId="0" fontId="5" fillId="16" borderId="0" xfId="0" applyFont="1" applyFill="1" applyAlignment="1"/>
    <xf numFmtId="0" fontId="13" fillId="0" borderId="7" xfId="0" applyFont="1" applyFill="1" applyBorder="1"/>
    <xf numFmtId="0" fontId="31" fillId="22" borderId="29" xfId="0" applyFont="1" applyFill="1" applyBorder="1" applyAlignment="1">
      <alignment horizontal="center"/>
    </xf>
    <xf numFmtId="0" fontId="0" fillId="0" borderId="29" xfId="0" applyFont="1" applyBorder="1" applyAlignment="1"/>
    <xf numFmtId="176" fontId="0" fillId="0" borderId="29" xfId="1" applyNumberFormat="1" applyFont="1" applyBorder="1" applyAlignment="1"/>
    <xf numFmtId="44" fontId="0" fillId="0" borderId="29" xfId="1" applyFont="1" applyBorder="1" applyAlignment="1"/>
    <xf numFmtId="0" fontId="4" fillId="0" borderId="29" xfId="0" applyFont="1" applyBorder="1" applyAlignment="1"/>
    <xf numFmtId="44" fontId="0" fillId="0" borderId="29" xfId="0" applyNumberFormat="1" applyFont="1" applyBorder="1" applyAlignment="1"/>
    <xf numFmtId="0" fontId="4" fillId="0" borderId="29" xfId="0" applyFont="1" applyFill="1" applyBorder="1" applyAlignment="1"/>
    <xf numFmtId="0" fontId="13" fillId="16" borderId="2" xfId="0" applyFont="1" applyFill="1" applyBorder="1"/>
    <xf numFmtId="0" fontId="4" fillId="16" borderId="0" xfId="0" applyFont="1" applyFill="1" applyAlignment="1"/>
    <xf numFmtId="0" fontId="0" fillId="16" borderId="29" xfId="0" applyFont="1" applyFill="1" applyBorder="1" applyAlignment="1"/>
    <xf numFmtId="176" fontId="0" fillId="16" borderId="29" xfId="1" applyNumberFormat="1" applyFont="1" applyFill="1" applyBorder="1" applyAlignment="1"/>
    <xf numFmtId="0" fontId="13" fillId="16" borderId="7" xfId="0" applyFont="1" applyFill="1" applyBorder="1"/>
    <xf numFmtId="0" fontId="30" fillId="16" borderId="7" xfId="0" applyFont="1" applyFill="1" applyBorder="1"/>
    <xf numFmtId="1" fontId="13" fillId="0" borderId="0" xfId="0" applyNumberFormat="1" applyFont="1" applyAlignment="1">
      <alignment horizontal="center"/>
    </xf>
    <xf numFmtId="0" fontId="0" fillId="0" borderId="0" xfId="0" applyFont="1" applyAlignment="1"/>
    <xf numFmtId="0" fontId="0" fillId="0" borderId="0" xfId="0" applyFont="1" applyAlignment="1"/>
    <xf numFmtId="1" fontId="15" fillId="0" borderId="0" xfId="0" applyNumberFormat="1" applyFont="1" applyAlignment="1">
      <alignment horizontal="center"/>
    </xf>
    <xf numFmtId="0" fontId="8" fillId="0" borderId="0" xfId="0" applyFont="1" applyAlignment="1"/>
    <xf numFmtId="1" fontId="13" fillId="0" borderId="0" xfId="0" applyNumberFormat="1" applyFont="1" applyFill="1" applyAlignment="1">
      <alignment horizontal="center"/>
    </xf>
    <xf numFmtId="1" fontId="20" fillId="0" borderId="0" xfId="0" applyNumberFormat="1" applyFont="1" applyAlignment="1">
      <alignment horizontal="center"/>
    </xf>
    <xf numFmtId="1" fontId="17" fillId="0" borderId="0" xfId="0" applyNumberFormat="1" applyFont="1" applyAlignment="1">
      <alignment horizontal="center"/>
    </xf>
    <xf numFmtId="0" fontId="33" fillId="0" borderId="0" xfId="0" applyFont="1" applyAlignment="1"/>
    <xf numFmtId="0" fontId="33" fillId="0" borderId="0" xfId="0" applyFont="1" applyAlignment="1">
      <alignment horizontal="center"/>
    </xf>
    <xf numFmtId="0" fontId="32" fillId="22" borderId="32" xfId="0" applyFont="1" applyFill="1" applyBorder="1" applyAlignment="1">
      <alignment horizontal="center" vertical="center" wrapText="1"/>
    </xf>
    <xf numFmtId="14" fontId="33" fillId="0" borderId="0" xfId="0" applyNumberFormat="1" applyFont="1" applyAlignment="1"/>
    <xf numFmtId="1" fontId="35" fillId="0" borderId="7" xfId="0" applyNumberFormat="1" applyFont="1" applyBorder="1" applyAlignment="1">
      <alignment horizontal="center" vertical="center" wrapText="1"/>
    </xf>
    <xf numFmtId="0" fontId="36" fillId="0" borderId="0" xfId="0" applyFont="1" applyAlignment="1"/>
    <xf numFmtId="0" fontId="32" fillId="23" borderId="34" xfId="0" applyFont="1" applyFill="1" applyBorder="1" applyAlignment="1">
      <alignment horizontal="center" vertical="center" wrapText="1"/>
    </xf>
    <xf numFmtId="0" fontId="32" fillId="22" borderId="34" xfId="0" applyFont="1" applyFill="1" applyBorder="1" applyAlignment="1">
      <alignment horizontal="center" vertical="center" wrapText="1"/>
    </xf>
    <xf numFmtId="0" fontId="34" fillId="0" borderId="29" xfId="0" applyFont="1" applyBorder="1" applyAlignment="1">
      <alignment vertical="center" wrapText="1"/>
    </xf>
    <xf numFmtId="0" fontId="34" fillId="16" borderId="29" xfId="0" applyFont="1" applyFill="1" applyBorder="1" applyAlignment="1">
      <alignment vertical="center" wrapText="1"/>
    </xf>
    <xf numFmtId="0" fontId="37" fillId="0" borderId="29" xfId="0" applyFont="1" applyBorder="1" applyAlignment="1">
      <alignment vertical="center" wrapText="1"/>
    </xf>
    <xf numFmtId="0" fontId="37" fillId="16" borderId="29" xfId="0" applyFont="1" applyFill="1" applyBorder="1" applyAlignment="1">
      <alignment vertical="center" wrapText="1"/>
    </xf>
    <xf numFmtId="0" fontId="38" fillId="0" borderId="29" xfId="0" applyFont="1" applyBorder="1" applyAlignment="1">
      <alignment vertical="center" wrapText="1"/>
    </xf>
    <xf numFmtId="0" fontId="38" fillId="16" borderId="29" xfId="0" applyFont="1" applyFill="1" applyBorder="1" applyAlignment="1">
      <alignment vertical="center" wrapText="1"/>
    </xf>
    <xf numFmtId="0" fontId="39" fillId="23" borderId="33" xfId="0" applyFont="1" applyFill="1" applyBorder="1" applyAlignment="1">
      <alignment horizontal="center" vertical="center" wrapText="1"/>
    </xf>
    <xf numFmtId="0" fontId="39" fillId="23" borderId="34" xfId="0" applyFont="1" applyFill="1" applyBorder="1" applyAlignment="1">
      <alignment horizontal="center" vertical="center" wrapText="1"/>
    </xf>
    <xf numFmtId="177" fontId="37" fillId="0" borderId="29" xfId="1" applyNumberFormat="1" applyFont="1" applyBorder="1" applyAlignment="1">
      <alignment horizontal="center" vertical="center" wrapText="1"/>
    </xf>
    <xf numFmtId="14" fontId="37" fillId="0" borderId="29" xfId="0" applyNumberFormat="1" applyFont="1" applyBorder="1" applyAlignment="1">
      <alignment horizontal="center" vertical="center" wrapText="1"/>
    </xf>
    <xf numFmtId="177" fontId="37" fillId="16" borderId="29" xfId="1" applyNumberFormat="1" applyFont="1" applyFill="1" applyBorder="1" applyAlignment="1">
      <alignment horizontal="center" vertical="center" wrapText="1"/>
    </xf>
    <xf numFmtId="14" fontId="37" fillId="16" borderId="29" xfId="0" applyNumberFormat="1" applyFont="1" applyFill="1" applyBorder="1" applyAlignment="1">
      <alignment horizontal="center" vertical="center" wrapText="1"/>
    </xf>
    <xf numFmtId="0" fontId="39" fillId="22" borderId="34" xfId="0" applyFont="1" applyFill="1" applyBorder="1" applyAlignment="1">
      <alignment horizontal="center" vertical="center" wrapText="1"/>
    </xf>
    <xf numFmtId="0" fontId="40" fillId="0" borderId="29" xfId="0" applyFont="1" applyBorder="1" applyAlignment="1">
      <alignment vertical="center" wrapText="1"/>
    </xf>
    <xf numFmtId="0" fontId="40" fillId="16" borderId="29" xfId="0" applyFont="1" applyFill="1" applyBorder="1" applyAlignment="1">
      <alignment vertical="center" wrapText="1"/>
    </xf>
    <xf numFmtId="0" fontId="37" fillId="0" borderId="29" xfId="0" applyFont="1" applyFill="1" applyBorder="1" applyAlignment="1">
      <alignment vertical="center" wrapText="1"/>
    </xf>
    <xf numFmtId="177" fontId="37" fillId="0" borderId="29" xfId="1" applyNumberFormat="1" applyFont="1" applyFill="1" applyBorder="1" applyAlignment="1">
      <alignment horizontal="center" vertical="center" wrapText="1"/>
    </xf>
    <xf numFmtId="14" fontId="37" fillId="0" borderId="29" xfId="0" applyNumberFormat="1" applyFont="1" applyFill="1" applyBorder="1" applyAlignment="1">
      <alignment horizontal="center" vertical="center" wrapText="1"/>
    </xf>
    <xf numFmtId="0" fontId="34" fillId="0" borderId="29" xfId="0" applyFont="1" applyFill="1" applyBorder="1" applyAlignment="1">
      <alignment vertical="center" wrapText="1"/>
    </xf>
    <xf numFmtId="0" fontId="38" fillId="0" borderId="29" xfId="0" applyFont="1" applyFill="1" applyBorder="1" applyAlignment="1">
      <alignment vertical="center" wrapText="1"/>
    </xf>
    <xf numFmtId="0" fontId="41" fillId="24" borderId="29" xfId="0" applyFont="1" applyFill="1" applyBorder="1" applyAlignment="1">
      <alignment horizontal="center" vertical="center"/>
    </xf>
    <xf numFmtId="0" fontId="42" fillId="0" borderId="29" xfId="0" applyFont="1" applyBorder="1" applyAlignment="1">
      <alignment vertical="center" wrapText="1"/>
    </xf>
    <xf numFmtId="14" fontId="42" fillId="0" borderId="29" xfId="0" applyNumberFormat="1" applyFont="1" applyBorder="1" applyAlignment="1">
      <alignment horizontal="center" vertical="center"/>
    </xf>
    <xf numFmtId="0" fontId="42" fillId="20" borderId="29" xfId="0" applyFont="1" applyFill="1" applyBorder="1" applyAlignment="1">
      <alignment vertical="center" wrapText="1"/>
    </xf>
    <xf numFmtId="14" fontId="42" fillId="20" borderId="29" xfId="0" applyNumberFormat="1" applyFont="1" applyFill="1" applyBorder="1" applyAlignment="1">
      <alignment horizontal="center" vertical="center"/>
    </xf>
    <xf numFmtId="1" fontId="13" fillId="16" borderId="2" xfId="0" applyNumberFormat="1" applyFont="1" applyFill="1" applyBorder="1"/>
    <xf numFmtId="0" fontId="30" fillId="5" borderId="2" xfId="0" applyFont="1" applyFill="1" applyBorder="1"/>
    <xf numFmtId="0" fontId="6" fillId="0" borderId="0" xfId="0" applyFont="1" applyFill="1" applyAlignment="1"/>
    <xf numFmtId="0" fontId="5" fillId="0" borderId="0" xfId="0" applyFont="1" applyFill="1" applyAlignment="1"/>
    <xf numFmtId="0" fontId="13" fillId="0" borderId="2" xfId="0" applyFont="1" applyFill="1" applyBorder="1"/>
    <xf numFmtId="0" fontId="4" fillId="0" borderId="0" xfId="0" applyFont="1" applyFill="1" applyAlignment="1"/>
    <xf numFmtId="0" fontId="30" fillId="0" borderId="7" xfId="0" applyFont="1" applyFill="1" applyBorder="1"/>
    <xf numFmtId="0" fontId="3" fillId="16" borderId="0" xfId="0" applyFont="1" applyFill="1" applyAlignment="1"/>
    <xf numFmtId="0" fontId="2" fillId="16" borderId="0" xfId="0" applyFont="1" applyFill="1" applyAlignment="1"/>
    <xf numFmtId="0" fontId="0" fillId="0" borderId="0" xfId="0" applyFont="1" applyAlignment="1"/>
    <xf numFmtId="0" fontId="1" fillId="0" borderId="0" xfId="0" applyFont="1" applyFill="1" applyAlignment="1"/>
    <xf numFmtId="0" fontId="0" fillId="0" borderId="0" xfId="0" applyFont="1" applyAlignment="1"/>
    <xf numFmtId="0" fontId="1" fillId="16" borderId="0" xfId="0" applyFont="1" applyFill="1" applyAlignment="1"/>
    <xf numFmtId="0" fontId="43" fillId="0" borderId="28" xfId="0" applyFont="1" applyBorder="1" applyAlignment="1">
      <alignment vertical="center" wrapText="1"/>
    </xf>
    <xf numFmtId="9" fontId="45" fillId="0" borderId="28" xfId="0" applyNumberFormat="1" applyFont="1" applyBorder="1" applyAlignment="1">
      <alignment horizontal="center" vertical="center" wrapText="1"/>
    </xf>
    <xf numFmtId="0" fontId="46" fillId="0" borderId="29" xfId="0" applyFont="1" applyBorder="1" applyAlignment="1">
      <alignment horizontal="left" vertical="center" wrapText="1"/>
    </xf>
    <xf numFmtId="0" fontId="46" fillId="0" borderId="29" xfId="0" applyFont="1" applyBorder="1" applyAlignment="1">
      <alignment horizontal="left" vertical="center" wrapText="1" indent="1"/>
    </xf>
    <xf numFmtId="0" fontId="46" fillId="0" borderId="38" xfId="0" applyFont="1" applyBorder="1" applyAlignment="1">
      <alignment horizontal="center" vertical="center" wrapText="1"/>
    </xf>
    <xf numFmtId="3" fontId="46" fillId="0" borderId="29" xfId="0" applyNumberFormat="1" applyFont="1" applyBorder="1" applyAlignment="1">
      <alignment horizontal="center" vertical="center" wrapText="1"/>
    </xf>
    <xf numFmtId="0" fontId="47" fillId="0" borderId="49" xfId="0" applyFont="1" applyBorder="1" applyAlignment="1">
      <alignment horizontal="center" vertical="center" wrapText="1"/>
    </xf>
    <xf numFmtId="0" fontId="47" fillId="0" borderId="50" xfId="0" applyFont="1" applyBorder="1" applyAlignment="1">
      <alignment horizontal="center" vertical="center" wrapText="1"/>
    </xf>
    <xf numFmtId="0" fontId="47" fillId="0" borderId="51" xfId="0" applyFont="1" applyBorder="1" applyAlignment="1">
      <alignment horizontal="center" vertical="center" wrapText="1"/>
    </xf>
    <xf numFmtId="0" fontId="46" fillId="0" borderId="52" xfId="0" applyFont="1" applyBorder="1" applyAlignment="1">
      <alignment horizontal="center" vertical="center" wrapText="1"/>
    </xf>
    <xf numFmtId="0" fontId="46" fillId="0" borderId="53" xfId="0" applyFont="1" applyBorder="1" applyAlignment="1">
      <alignment horizontal="left" vertical="center" wrapText="1" indent="1"/>
    </xf>
    <xf numFmtId="0" fontId="46" fillId="0" borderId="56" xfId="0" applyFont="1" applyBorder="1" applyAlignment="1">
      <alignment horizontal="left" vertical="center" wrapText="1" indent="1"/>
    </xf>
    <xf numFmtId="0" fontId="46" fillId="25" borderId="56" xfId="0" applyFont="1" applyFill="1" applyBorder="1" applyAlignment="1">
      <alignment horizontal="left" vertical="center" wrapText="1" indent="1"/>
    </xf>
    <xf numFmtId="0" fontId="46" fillId="0" borderId="54" xfId="0" applyFont="1" applyFill="1" applyBorder="1" applyAlignment="1">
      <alignment horizontal="center" vertical="center" wrapText="1"/>
    </xf>
    <xf numFmtId="0" fontId="46" fillId="0" borderId="55" xfId="0" applyFont="1" applyFill="1" applyBorder="1" applyAlignment="1">
      <alignment horizontal="left" vertical="center" wrapText="1"/>
    </xf>
    <xf numFmtId="0" fontId="46" fillId="0" borderId="55" xfId="0" applyFont="1" applyFill="1" applyBorder="1" applyAlignment="1">
      <alignment horizontal="center" vertical="center" wrapText="1"/>
    </xf>
    <xf numFmtId="3" fontId="46" fillId="0" borderId="55" xfId="0" applyNumberFormat="1" applyFont="1" applyFill="1" applyBorder="1" applyAlignment="1">
      <alignment horizontal="center" vertical="center" wrapText="1"/>
    </xf>
    <xf numFmtId="0" fontId="46" fillId="0" borderId="55" xfId="0" applyFont="1" applyFill="1" applyBorder="1" applyAlignment="1">
      <alignment horizontal="left" vertical="center" wrapText="1" indent="1"/>
    </xf>
    <xf numFmtId="0" fontId="46" fillId="0" borderId="56" xfId="0" applyFont="1" applyFill="1" applyBorder="1" applyAlignment="1">
      <alignment horizontal="left" vertical="center" wrapText="1" indent="1"/>
    </xf>
    <xf numFmtId="1" fontId="13" fillId="0" borderId="0" xfId="0" applyNumberFormat="1" applyFont="1" applyAlignment="1">
      <alignment horizontal="center"/>
    </xf>
    <xf numFmtId="0" fontId="0" fillId="0" borderId="0" xfId="0" applyFont="1" applyAlignment="1"/>
    <xf numFmtId="0" fontId="13" fillId="0" borderId="0" xfId="0" applyFont="1" applyAlignment="1">
      <alignment horizontal="center"/>
    </xf>
    <xf numFmtId="0" fontId="13" fillId="3" borderId="6" xfId="0" applyFont="1" applyFill="1" applyBorder="1" applyAlignment="1">
      <alignment horizontal="center"/>
    </xf>
    <xf numFmtId="0" fontId="11" fillId="0" borderId="7" xfId="0" applyFont="1" applyBorder="1"/>
    <xf numFmtId="0" fontId="45" fillId="0" borderId="41" xfId="0" applyFont="1" applyBorder="1" applyAlignment="1">
      <alignment horizontal="right" vertical="center" wrapText="1"/>
    </xf>
    <xf numFmtId="0" fontId="45" fillId="0" borderId="10" xfId="0" applyFont="1" applyBorder="1" applyAlignment="1">
      <alignment horizontal="right" vertical="center" wrapText="1"/>
    </xf>
    <xf numFmtId="0" fontId="45" fillId="0" borderId="22" xfId="0" applyFont="1" applyBorder="1" applyAlignment="1">
      <alignment horizontal="right" vertical="center" wrapText="1"/>
    </xf>
    <xf numFmtId="0" fontId="45" fillId="25" borderId="46" xfId="0" applyFont="1" applyFill="1" applyBorder="1" applyAlignment="1">
      <alignment horizontal="left" vertical="center" wrapText="1" indent="15"/>
    </xf>
    <xf numFmtId="0" fontId="45" fillId="25" borderId="47" xfId="0" applyFont="1" applyFill="1" applyBorder="1" applyAlignment="1">
      <alignment horizontal="left" vertical="center" wrapText="1" indent="15"/>
    </xf>
    <xf numFmtId="0" fontId="45" fillId="25" borderId="48" xfId="0" applyFont="1" applyFill="1" applyBorder="1" applyAlignment="1">
      <alignment horizontal="left" vertical="center" wrapText="1" indent="15"/>
    </xf>
    <xf numFmtId="0" fontId="46" fillId="0" borderId="39" xfId="0" applyFont="1" applyBorder="1" applyAlignment="1">
      <alignment vertical="center" wrapText="1"/>
    </xf>
    <xf numFmtId="0" fontId="46" fillId="0" borderId="40" xfId="0" applyFont="1" applyBorder="1" applyAlignment="1">
      <alignment vertical="center" wrapText="1"/>
    </xf>
    <xf numFmtId="0" fontId="46" fillId="0" borderId="35" xfId="0" applyFont="1" applyBorder="1" applyAlignment="1">
      <alignment vertical="center" wrapText="1"/>
    </xf>
    <xf numFmtId="0" fontId="46" fillId="0" borderId="41" xfId="0" applyFont="1" applyBorder="1" applyAlignment="1">
      <alignment vertical="center" wrapText="1"/>
    </xf>
    <xf numFmtId="0" fontId="46" fillId="0" borderId="10" xfId="0" applyFont="1" applyBorder="1" applyAlignment="1">
      <alignment vertical="center" wrapText="1"/>
    </xf>
    <xf numFmtId="0" fontId="46" fillId="0" borderId="42" xfId="0" applyFont="1" applyBorder="1" applyAlignment="1">
      <alignment vertical="center" wrapText="1"/>
    </xf>
    <xf numFmtId="0" fontId="45" fillId="0" borderId="45" xfId="0" applyFont="1" applyBorder="1" applyAlignment="1">
      <alignment horizontal="right" vertical="center" wrapText="1"/>
    </xf>
    <xf numFmtId="0" fontId="45" fillId="0" borderId="37" xfId="0" applyFont="1" applyBorder="1" applyAlignment="1">
      <alignment horizontal="right" vertical="center" wrapText="1"/>
    </xf>
    <xf numFmtId="0" fontId="45" fillId="0" borderId="28" xfId="0" applyFont="1" applyBorder="1" applyAlignment="1">
      <alignment horizontal="right" vertical="center" wrapText="1"/>
    </xf>
    <xf numFmtId="0" fontId="44" fillId="0" borderId="57" xfId="0" applyFont="1" applyBorder="1" applyAlignment="1">
      <alignment vertical="center" wrapText="1"/>
    </xf>
    <xf numFmtId="0" fontId="44" fillId="0" borderId="59" xfId="0" applyFont="1" applyBorder="1" applyAlignment="1">
      <alignment vertical="center" wrapText="1"/>
    </xf>
    <xf numFmtId="0" fontId="45" fillId="0" borderId="58"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41" xfId="0" applyFont="1" applyBorder="1" applyAlignment="1">
      <alignment vertical="center" wrapText="1"/>
    </xf>
    <xf numFmtId="0" fontId="45" fillId="0" borderId="10" xfId="0" applyFont="1" applyBorder="1" applyAlignment="1">
      <alignment vertical="center" wrapText="1"/>
    </xf>
    <xf numFmtId="0" fontId="45" fillId="0" borderId="42" xfId="0" applyFont="1" applyBorder="1" applyAlignment="1">
      <alignment vertical="center" wrapText="1"/>
    </xf>
    <xf numFmtId="0" fontId="46" fillId="0" borderId="43" xfId="0" applyFont="1" applyBorder="1" applyAlignment="1">
      <alignment vertical="center" wrapText="1"/>
    </xf>
    <xf numFmtId="0" fontId="46" fillId="0" borderId="36" xfId="0" applyFont="1" applyBorder="1" applyAlignment="1">
      <alignment vertical="center" wrapText="1"/>
    </xf>
    <xf numFmtId="0" fontId="46" fillId="0" borderId="44" xfId="0" applyFont="1" applyBorder="1" applyAlignment="1">
      <alignment vertical="center" wrapText="1"/>
    </xf>
    <xf numFmtId="0" fontId="10" fillId="2" borderId="3" xfId="0" applyFont="1" applyFill="1" applyBorder="1" applyAlignment="1">
      <alignment horizontal="center" wrapText="1"/>
    </xf>
    <xf numFmtId="0" fontId="11" fillId="0" borderId="5" xfId="0" applyFont="1" applyBorder="1"/>
    <xf numFmtId="164" fontId="10" fillId="2" borderId="3" xfId="0" applyNumberFormat="1" applyFont="1" applyFill="1" applyBorder="1" applyAlignment="1">
      <alignment horizontal="center" wrapText="1"/>
    </xf>
    <xf numFmtId="0" fontId="31" fillId="22" borderId="29" xfId="0" applyFont="1" applyFill="1" applyBorder="1" applyAlignment="1">
      <alignment horizontal="center"/>
    </xf>
    <xf numFmtId="0" fontId="31" fillId="22" borderId="30" xfId="0" applyFont="1" applyFill="1" applyBorder="1" applyAlignment="1">
      <alignment horizontal="center"/>
    </xf>
    <xf numFmtId="0" fontId="31" fillId="22" borderId="31" xfId="0" applyFont="1" applyFill="1" applyBorder="1" applyAlignment="1">
      <alignment horizontal="center"/>
    </xf>
    <xf numFmtId="0" fontId="37" fillId="0" borderId="29" xfId="0" applyFont="1" applyBorder="1" applyAlignment="1">
      <alignment vertical="center" wrapText="1"/>
    </xf>
    <xf numFmtId="177" fontId="37" fillId="0" borderId="29" xfId="1" applyNumberFormat="1" applyFont="1" applyBorder="1" applyAlignment="1">
      <alignment horizontal="center" vertical="center" wrapText="1"/>
    </xf>
    <xf numFmtId="0" fontId="22" fillId="9" borderId="15" xfId="0" applyFont="1" applyFill="1" applyBorder="1" applyAlignment="1">
      <alignment horizontal="center"/>
    </xf>
    <xf numFmtId="0" fontId="11" fillId="0" borderId="16" xfId="0" applyFont="1" applyBorder="1"/>
    <xf numFmtId="0" fontId="22" fillId="12" borderId="13" xfId="0" applyFont="1" applyFill="1" applyBorder="1" applyAlignment="1">
      <alignment horizontal="center"/>
    </xf>
    <xf numFmtId="0" fontId="11" fillId="0" borderId="14" xfId="0" applyFont="1" applyBorder="1"/>
    <xf numFmtId="0" fontId="22" fillId="6" borderId="15" xfId="0" applyFont="1" applyFill="1" applyBorder="1" applyAlignment="1">
      <alignment horizontal="center"/>
    </xf>
    <xf numFmtId="0" fontId="22" fillId="0" borderId="0" xfId="0" applyFont="1" applyAlignment="1">
      <alignment horizontal="center"/>
    </xf>
    <xf numFmtId="0" fontId="22" fillId="6" borderId="13" xfId="0" applyFont="1" applyFill="1" applyBorder="1" applyAlignment="1">
      <alignment horizontal="center"/>
    </xf>
    <xf numFmtId="0" fontId="22" fillId="9" borderId="13" xfId="0" applyFont="1" applyFill="1" applyBorder="1" applyAlignment="1">
      <alignment horizontal="center"/>
    </xf>
    <xf numFmtId="0" fontId="22" fillId="0" borderId="9" xfId="0" applyFont="1" applyBorder="1" applyAlignment="1">
      <alignment horizontal="center"/>
    </xf>
    <xf numFmtId="0" fontId="11" fillId="0" borderId="20" xfId="0" applyFont="1" applyBorder="1"/>
    <xf numFmtId="0" fontId="23" fillId="0" borderId="0" xfId="0" applyFont="1" applyAlignment="1">
      <alignment horizontal="right"/>
    </xf>
    <xf numFmtId="0" fontId="8" fillId="0" borderId="10" xfId="0" applyFont="1" applyBorder="1"/>
    <xf numFmtId="0" fontId="11" fillId="0" borderId="10" xfId="0"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K275"/>
  <sheetViews>
    <sheetView topLeftCell="GD7" workbookViewId="0">
      <selection activeCell="GG38" sqref="GG38"/>
    </sheetView>
  </sheetViews>
  <sheetFormatPr baseColWidth="10" defaultColWidth="12.6640625" defaultRowHeight="15" customHeight="1" x14ac:dyDescent="0.3"/>
  <cols>
    <col min="1" max="10" width="9.4140625" hidden="1" customWidth="1"/>
    <col min="11" max="11" width="11.5" hidden="1" customWidth="1"/>
    <col min="12" max="12" width="12.5" hidden="1" customWidth="1"/>
    <col min="13" max="13" width="13.5" hidden="1" customWidth="1"/>
    <col min="14" max="23" width="9.4140625" hidden="1" customWidth="1"/>
    <col min="24" max="24" width="8" hidden="1" customWidth="1"/>
    <col min="25" max="26" width="9.4140625" hidden="1" customWidth="1"/>
    <col min="27" max="27" width="7.5" hidden="1" customWidth="1"/>
    <col min="28" max="30" width="9.4140625" hidden="1" customWidth="1"/>
    <col min="31" max="31" width="8.9140625" hidden="1" customWidth="1"/>
    <col min="32" max="34" width="9.4140625" hidden="1" customWidth="1"/>
    <col min="35" max="35" width="11.4140625" hidden="1" customWidth="1"/>
    <col min="36" max="36" width="6.9140625" hidden="1" customWidth="1"/>
    <col min="37" max="37" width="13.9140625" hidden="1" customWidth="1"/>
    <col min="38" max="38" width="9.6640625" hidden="1" customWidth="1"/>
    <col min="39" max="41" width="9" hidden="1" customWidth="1"/>
    <col min="42" max="42" width="9.9140625" hidden="1" customWidth="1"/>
    <col min="43" max="43" width="7.9140625" hidden="1" customWidth="1"/>
    <col min="44" max="44" width="9" hidden="1" customWidth="1"/>
    <col min="45" max="45" width="12.5" hidden="1" customWidth="1"/>
    <col min="46" max="46" width="20.5" hidden="1" customWidth="1"/>
    <col min="47" max="47" width="13.5" hidden="1" customWidth="1"/>
    <col min="48" max="48" width="12.6640625" hidden="1" customWidth="1"/>
    <col min="49" max="49" width="18.9140625" hidden="1" customWidth="1"/>
    <col min="50" max="50" width="11.75" hidden="1" customWidth="1"/>
    <col min="51" max="51" width="15.5" hidden="1" customWidth="1"/>
    <col min="52" max="52" width="13.9140625" hidden="1" customWidth="1"/>
    <col min="53" max="53" width="12.6640625" hidden="1" customWidth="1"/>
    <col min="54" max="55" width="12.5" hidden="1" customWidth="1"/>
    <col min="56" max="56" width="12.6640625" hidden="1" customWidth="1"/>
    <col min="57" max="57" width="12.5" hidden="1" customWidth="1"/>
    <col min="58" max="59" width="12.6640625" hidden="1" customWidth="1"/>
    <col min="60" max="61" width="12.5" hidden="1" customWidth="1"/>
    <col min="62" max="62" width="12.6640625" hidden="1" customWidth="1"/>
    <col min="63" max="63" width="12.5" hidden="1" customWidth="1"/>
    <col min="64" max="64" width="12.6640625" hidden="1" customWidth="1"/>
    <col min="65" max="65" width="9.5" hidden="1" customWidth="1"/>
    <col min="66" max="66" width="12.5" hidden="1" customWidth="1"/>
    <col min="67" max="67" width="12.6640625" hidden="1" customWidth="1"/>
    <col min="68" max="68" width="9.9140625" hidden="1" customWidth="1"/>
    <col min="69" max="70" width="12.6640625" hidden="1" customWidth="1"/>
    <col min="71" max="71" width="10" hidden="1" customWidth="1"/>
    <col min="72" max="73" width="12.5" hidden="1" customWidth="1"/>
    <col min="74" max="74" width="12.6640625" hidden="1" customWidth="1"/>
    <col min="75" max="76" width="12.5" hidden="1" customWidth="1"/>
    <col min="77" max="77" width="12.6640625" hidden="1" customWidth="1"/>
    <col min="78" max="78" width="12.5" hidden="1" customWidth="1"/>
    <col min="79" max="80" width="12.6640625" hidden="1" customWidth="1"/>
    <col min="81" max="82" width="12.5" hidden="1" customWidth="1"/>
    <col min="83" max="83" width="13.25" hidden="1" customWidth="1"/>
    <col min="84" max="84" width="12.5" hidden="1" customWidth="1"/>
    <col min="85" max="86" width="12.6640625" hidden="1" customWidth="1"/>
    <col min="87" max="87" width="12.5" hidden="1" customWidth="1"/>
    <col min="88" max="88" width="15.4140625" hidden="1" customWidth="1"/>
    <col min="89" max="89" width="14.9140625" hidden="1" customWidth="1"/>
    <col min="90" max="90" width="12.6640625" hidden="1" customWidth="1"/>
    <col min="91" max="92" width="16.5" hidden="1" customWidth="1"/>
    <col min="93" max="93" width="13.5" hidden="1" customWidth="1"/>
    <col min="94" max="94" width="12.5" hidden="1" customWidth="1"/>
    <col min="95" max="95" width="12.6640625" hidden="1" customWidth="1"/>
    <col min="96" max="98" width="12.5" hidden="1" customWidth="1"/>
    <col min="99" max="99" width="12.6640625" hidden="1" customWidth="1"/>
    <col min="100" max="101" width="12.5" hidden="1" customWidth="1"/>
    <col min="102" max="102" width="12.6640625" hidden="1" customWidth="1"/>
    <col min="103" max="104" width="12.5" hidden="1" customWidth="1"/>
    <col min="105" max="105" width="12.6640625" hidden="1" customWidth="1"/>
    <col min="106" max="107" width="12.5" hidden="1" customWidth="1"/>
    <col min="108" max="108" width="12.6640625" hidden="1" customWidth="1"/>
    <col min="109" max="110" width="12.5" hidden="1" customWidth="1"/>
    <col min="111" max="111" width="12.6640625" hidden="1" customWidth="1"/>
    <col min="112" max="113" width="12.5" hidden="1" customWidth="1"/>
    <col min="114" max="115" width="12.6640625" hidden="1" customWidth="1"/>
    <col min="116" max="116" width="12.5" hidden="1" customWidth="1"/>
    <col min="117" max="117" width="12.6640625" hidden="1" customWidth="1"/>
    <col min="118" max="119" width="12.5" hidden="1" customWidth="1"/>
    <col min="120" max="120" width="12.6640625" hidden="1" customWidth="1"/>
    <col min="121" max="121" width="0" hidden="1" customWidth="1"/>
    <col min="122" max="122" width="14.4140625" hidden="1" customWidth="1"/>
    <col min="123" max="123" width="0" hidden="1" customWidth="1"/>
    <col min="124" max="126" width="13.4140625" hidden="1" customWidth="1"/>
    <col min="127" max="127" width="0" hidden="1" customWidth="1"/>
    <col min="128" max="128" width="16" hidden="1" customWidth="1"/>
    <col min="129" max="130" width="0" hidden="1" customWidth="1"/>
    <col min="131" max="132" width="12.6640625" hidden="1" customWidth="1"/>
    <col min="133" max="133" width="0" hidden="1" customWidth="1"/>
    <col min="134" max="134" width="14.1640625" hidden="1" customWidth="1"/>
    <col min="135" max="135" width="12.6640625" hidden="1" customWidth="1"/>
    <col min="136" max="136" width="0" hidden="1" customWidth="1"/>
    <col min="137" max="138" width="12.6640625" hidden="1" customWidth="1"/>
    <col min="139" max="141" width="0" hidden="1" customWidth="1"/>
    <col min="142" max="143" width="12.6640625" hidden="1" customWidth="1"/>
    <col min="144" max="145" width="16.5" hidden="1" customWidth="1"/>
    <col min="146" max="146" width="12.6640625" hidden="1" customWidth="1"/>
    <col min="147" max="147" width="15.6640625" hidden="1" customWidth="1"/>
    <col min="148" max="148" width="11.4140625" hidden="1" customWidth="1"/>
    <col min="149" max="149" width="12.6640625" hidden="1" customWidth="1"/>
    <col min="150" max="150" width="12.4140625" hidden="1" customWidth="1"/>
    <col min="151" max="151" width="7" hidden="1" customWidth="1"/>
    <col min="152" max="152" width="12.6640625" hidden="1" customWidth="1"/>
    <col min="153" max="153" width="12.1640625" hidden="1" customWidth="1"/>
    <col min="154" max="154" width="5.75" hidden="1" customWidth="1"/>
    <col min="155" max="155" width="12.6640625" hidden="1" customWidth="1"/>
    <col min="156" max="156" width="15.6640625" hidden="1" customWidth="1"/>
    <col min="157" max="157" width="9.4140625" hidden="1" customWidth="1"/>
    <col min="158" max="158" width="19.9140625" hidden="1" customWidth="1"/>
    <col min="159" max="159" width="11.6640625" hidden="1" customWidth="1"/>
    <col min="160" max="162" width="0" hidden="1" customWidth="1"/>
    <col min="163" max="163" width="10.1640625" hidden="1" customWidth="1"/>
    <col min="164" max="172" width="0" hidden="1" customWidth="1"/>
  </cols>
  <sheetData>
    <row r="1" spans="1:213" ht="15" customHeight="1" x14ac:dyDescent="0.3">
      <c r="A1" s="16"/>
      <c r="B1" s="16"/>
      <c r="C1" s="306">
        <v>2020</v>
      </c>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6">
        <v>2021</v>
      </c>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6">
        <v>2022</v>
      </c>
      <c r="BU1" s="305"/>
      <c r="BV1" s="305"/>
      <c r="BW1" s="305"/>
      <c r="BX1" s="305"/>
      <c r="BY1" s="305"/>
      <c r="BZ1" s="305"/>
      <c r="CA1" s="305"/>
      <c r="CB1" s="305"/>
      <c r="CC1" s="305"/>
      <c r="CD1" s="305"/>
      <c r="CE1" s="305"/>
      <c r="CF1" s="305"/>
      <c r="CG1" s="305"/>
      <c r="CH1" s="305"/>
      <c r="CI1" s="305"/>
      <c r="CJ1" s="305"/>
      <c r="CK1" s="305"/>
      <c r="CL1" s="305"/>
      <c r="CM1" s="305"/>
      <c r="CN1" s="305"/>
      <c r="CO1" s="305"/>
      <c r="CP1" s="305"/>
      <c r="CQ1" s="305"/>
      <c r="CR1" s="305"/>
      <c r="CS1" s="305"/>
      <c r="CT1" s="305"/>
      <c r="CU1" s="305"/>
      <c r="CV1" s="305"/>
      <c r="CW1" s="305"/>
      <c r="CX1" s="305"/>
      <c r="CY1" s="305"/>
      <c r="CZ1" s="305"/>
      <c r="DA1" s="305"/>
      <c r="DB1" s="305"/>
      <c r="DC1" s="306">
        <v>2023</v>
      </c>
      <c r="DD1" s="305"/>
      <c r="DE1" s="305"/>
      <c r="DF1" s="305"/>
      <c r="DG1" s="305"/>
      <c r="DH1" s="305"/>
      <c r="DI1" s="305"/>
      <c r="DJ1" s="305"/>
      <c r="DK1" s="305"/>
      <c r="DL1" s="305"/>
      <c r="DM1" s="305"/>
      <c r="DN1" s="305"/>
      <c r="DO1" s="305"/>
      <c r="DP1" s="305"/>
      <c r="DQ1" s="305"/>
      <c r="DR1" s="305"/>
      <c r="DS1" s="305"/>
      <c r="DT1" s="305"/>
      <c r="DU1" s="305"/>
      <c r="DV1" s="305"/>
      <c r="DW1" s="305"/>
      <c r="DX1" s="305"/>
      <c r="DY1" s="305"/>
      <c r="DZ1" s="305"/>
      <c r="EA1" s="305"/>
      <c r="EB1" s="305"/>
      <c r="EC1" s="305"/>
      <c r="ED1" s="305"/>
      <c r="EE1" s="305"/>
      <c r="EF1" s="305"/>
      <c r="EG1" s="305"/>
      <c r="EH1" s="305"/>
      <c r="EI1" s="305"/>
      <c r="EJ1" s="305"/>
      <c r="EK1" s="305"/>
      <c r="EL1" s="15" t="s">
        <v>54</v>
      </c>
      <c r="EM1" s="1"/>
      <c r="EN1" s="1"/>
      <c r="EP1" s="1" t="s">
        <v>55</v>
      </c>
      <c r="EQ1" s="1"/>
      <c r="ER1" s="1"/>
      <c r="ES1" s="1" t="s">
        <v>55</v>
      </c>
      <c r="ET1" s="1"/>
      <c r="EV1" s="1" t="s">
        <v>55</v>
      </c>
      <c r="EW1" s="1"/>
      <c r="EY1" s="1" t="s">
        <v>55</v>
      </c>
      <c r="EZ1" s="1"/>
      <c r="FB1" s="1" t="s">
        <v>55</v>
      </c>
      <c r="FC1" s="1"/>
      <c r="FR1" s="18">
        <v>1</v>
      </c>
    </row>
    <row r="2" spans="1:213" ht="14" x14ac:dyDescent="0.3">
      <c r="A2" s="306" t="s">
        <v>56</v>
      </c>
      <c r="B2" s="305"/>
      <c r="C2" s="16"/>
      <c r="D2" s="306" t="s">
        <v>57</v>
      </c>
      <c r="E2" s="305"/>
      <c r="F2" s="16"/>
      <c r="G2" s="306" t="s">
        <v>58</v>
      </c>
      <c r="H2" s="305"/>
      <c r="I2" s="16"/>
      <c r="J2" s="306" t="s">
        <v>59</v>
      </c>
      <c r="K2" s="305"/>
      <c r="L2" s="16"/>
      <c r="M2" s="306" t="s">
        <v>60</v>
      </c>
      <c r="N2" s="305"/>
      <c r="O2" s="16"/>
      <c r="P2" s="306" t="s">
        <v>61</v>
      </c>
      <c r="Q2" s="305"/>
      <c r="R2" s="16"/>
      <c r="S2" s="306" t="s">
        <v>62</v>
      </c>
      <c r="T2" s="305"/>
      <c r="U2" s="16"/>
      <c r="V2" s="306" t="s">
        <v>63</v>
      </c>
      <c r="W2" s="305"/>
      <c r="X2" s="16"/>
      <c r="Y2" s="306" t="s">
        <v>64</v>
      </c>
      <c r="Z2" s="305"/>
      <c r="AA2" s="16"/>
      <c r="AB2" s="306" t="s">
        <v>65</v>
      </c>
      <c r="AC2" s="305"/>
      <c r="AD2" s="16"/>
      <c r="AE2" s="306" t="s">
        <v>66</v>
      </c>
      <c r="AF2" s="305"/>
      <c r="AG2" s="16"/>
      <c r="AH2" s="306" t="s">
        <v>67</v>
      </c>
      <c r="AI2" s="305"/>
      <c r="AJ2" s="16"/>
      <c r="AK2" s="306" t="s">
        <v>68</v>
      </c>
      <c r="AL2" s="305"/>
      <c r="AM2" s="16"/>
      <c r="AN2" s="306" t="s">
        <v>69</v>
      </c>
      <c r="AO2" s="305"/>
      <c r="AP2" s="16"/>
      <c r="AQ2" s="306" t="s">
        <v>70</v>
      </c>
      <c r="AR2" s="305"/>
      <c r="AS2" s="16"/>
      <c r="AT2" s="306" t="s">
        <v>59</v>
      </c>
      <c r="AU2" s="305"/>
      <c r="AV2" s="16"/>
      <c r="AW2" s="306" t="s">
        <v>60</v>
      </c>
      <c r="AX2" s="305"/>
      <c r="AY2" s="16"/>
      <c r="AZ2" s="306" t="s">
        <v>61</v>
      </c>
      <c r="BA2" s="305"/>
      <c r="BB2" s="16"/>
      <c r="BC2" s="306" t="s">
        <v>62</v>
      </c>
      <c r="BD2" s="305"/>
      <c r="BE2" s="16"/>
      <c r="BF2" s="306" t="s">
        <v>63</v>
      </c>
      <c r="BG2" s="305"/>
      <c r="BH2" s="16"/>
      <c r="BI2" s="306" t="s">
        <v>64</v>
      </c>
      <c r="BJ2" s="305"/>
      <c r="BK2" s="16"/>
      <c r="BL2" s="306" t="s">
        <v>65</v>
      </c>
      <c r="BM2" s="305"/>
      <c r="BN2" s="16"/>
      <c r="BO2" s="306" t="s">
        <v>66</v>
      </c>
      <c r="BP2" s="305"/>
      <c r="BQ2" s="16"/>
      <c r="BR2" s="306" t="s">
        <v>67</v>
      </c>
      <c r="BS2" s="305"/>
      <c r="BT2" s="16"/>
      <c r="BU2" s="306" t="s">
        <v>68</v>
      </c>
      <c r="BV2" s="305"/>
      <c r="BW2" s="16"/>
      <c r="BX2" s="306" t="s">
        <v>71</v>
      </c>
      <c r="BY2" s="305"/>
      <c r="BZ2" s="16"/>
      <c r="CA2" s="306" t="s">
        <v>72</v>
      </c>
      <c r="CB2" s="305"/>
      <c r="CC2" s="16"/>
      <c r="CD2" s="306" t="s">
        <v>73</v>
      </c>
      <c r="CE2" s="305"/>
      <c r="CF2" s="16"/>
      <c r="CG2" s="306" t="s">
        <v>74</v>
      </c>
      <c r="CH2" s="305"/>
      <c r="CI2" s="16"/>
      <c r="CJ2" s="306" t="s">
        <v>75</v>
      </c>
      <c r="CK2" s="305"/>
      <c r="CL2" s="16"/>
      <c r="CM2" s="306" t="s">
        <v>62</v>
      </c>
      <c r="CN2" s="305"/>
      <c r="CO2" s="16"/>
      <c r="CP2" s="307" t="s">
        <v>63</v>
      </c>
      <c r="CQ2" s="308"/>
      <c r="CR2" s="16"/>
      <c r="CS2" s="16"/>
      <c r="CT2" s="306" t="s">
        <v>76</v>
      </c>
      <c r="CU2" s="305"/>
      <c r="CV2" s="16"/>
      <c r="CW2" s="306" t="s">
        <v>77</v>
      </c>
      <c r="CX2" s="305"/>
      <c r="CY2" s="16"/>
      <c r="CZ2" s="306" t="s">
        <v>78</v>
      </c>
      <c r="DA2" s="305"/>
      <c r="DB2" s="16"/>
      <c r="DC2" s="306" t="s">
        <v>79</v>
      </c>
      <c r="DD2" s="305"/>
      <c r="DE2" s="16"/>
      <c r="DF2" s="306" t="s">
        <v>80</v>
      </c>
      <c r="DG2" s="305"/>
      <c r="DH2" s="16"/>
      <c r="DI2" s="306" t="s">
        <v>72</v>
      </c>
      <c r="DJ2" s="305"/>
      <c r="DK2" s="17"/>
      <c r="DL2" s="306" t="s">
        <v>73</v>
      </c>
      <c r="DM2" s="305"/>
      <c r="DN2" s="16"/>
      <c r="DO2" s="306" t="s">
        <v>74</v>
      </c>
      <c r="DP2" s="305"/>
      <c r="DR2" s="306" t="s">
        <v>75</v>
      </c>
      <c r="DS2" s="305"/>
      <c r="DU2" s="306" t="s">
        <v>81</v>
      </c>
      <c r="DV2" s="305"/>
      <c r="DX2" s="306" t="s">
        <v>82</v>
      </c>
      <c r="DY2" s="305"/>
      <c r="EA2" s="306" t="s">
        <v>83</v>
      </c>
      <c r="EB2" s="305"/>
      <c r="ED2" s="306" t="s">
        <v>84</v>
      </c>
      <c r="EE2" s="305"/>
      <c r="EG2" s="306" t="s">
        <v>85</v>
      </c>
      <c r="EH2" s="305"/>
      <c r="EJ2" s="306" t="s">
        <v>86</v>
      </c>
      <c r="EK2" s="305"/>
      <c r="EL2" s="19">
        <v>4.0999999999999996</v>
      </c>
      <c r="EM2" s="304" t="s">
        <v>87</v>
      </c>
      <c r="EN2" s="305"/>
      <c r="EO2" s="21"/>
      <c r="EP2" s="304" t="s">
        <v>71</v>
      </c>
      <c r="EQ2" s="305"/>
      <c r="ER2" s="21"/>
      <c r="ES2" s="304" t="s">
        <v>72</v>
      </c>
      <c r="ET2" s="305"/>
      <c r="EV2" s="304" t="s">
        <v>73</v>
      </c>
      <c r="EW2" s="305"/>
      <c r="EY2" s="304" t="s">
        <v>74</v>
      </c>
      <c r="EZ2" s="305"/>
      <c r="FB2" s="304" t="s">
        <v>75</v>
      </c>
      <c r="FC2" s="305"/>
      <c r="FE2" s="304" t="s">
        <v>81</v>
      </c>
      <c r="FF2" s="305"/>
      <c r="FH2" s="304" t="s">
        <v>82</v>
      </c>
      <c r="FI2" s="305"/>
      <c r="FK2" s="304" t="s">
        <v>83</v>
      </c>
      <c r="FL2" s="305"/>
      <c r="FN2" s="304" t="s">
        <v>84</v>
      </c>
      <c r="FO2" s="305"/>
      <c r="FQ2" s="304" t="s">
        <v>85</v>
      </c>
      <c r="FR2" s="305"/>
      <c r="FT2" s="304" t="s">
        <v>86</v>
      </c>
      <c r="FU2" s="305"/>
      <c r="FV2" s="20"/>
      <c r="FW2" s="304" t="s">
        <v>87</v>
      </c>
      <c r="FX2" s="305"/>
      <c r="FY2" s="20"/>
      <c r="FZ2" s="304" t="s">
        <v>71</v>
      </c>
      <c r="GA2" s="305"/>
      <c r="GB2" s="22"/>
      <c r="GC2" s="304" t="s">
        <v>72</v>
      </c>
      <c r="GD2" s="305"/>
      <c r="GE2" s="22"/>
      <c r="GF2" s="304" t="s">
        <v>73</v>
      </c>
      <c r="GG2" s="305"/>
      <c r="GH2" s="22"/>
      <c r="GI2" s="304" t="s">
        <v>74</v>
      </c>
      <c r="GJ2" s="305"/>
      <c r="GK2" s="22"/>
      <c r="GL2" s="304" t="s">
        <v>75</v>
      </c>
      <c r="GM2" s="305"/>
      <c r="GN2" s="22"/>
      <c r="GO2" s="304" t="s">
        <v>81</v>
      </c>
      <c r="GP2" s="305"/>
      <c r="GQ2" s="22"/>
      <c r="GR2" s="304" t="s">
        <v>82</v>
      </c>
      <c r="GS2" s="305"/>
      <c r="GT2" s="22"/>
      <c r="GU2" s="304" t="s">
        <v>83</v>
      </c>
      <c r="GV2" s="305"/>
      <c r="GX2" s="304" t="s">
        <v>84</v>
      </c>
      <c r="GY2" s="305"/>
      <c r="HA2" s="304" t="s">
        <v>85</v>
      </c>
      <c r="HB2" s="305"/>
      <c r="HD2" s="304" t="s">
        <v>86</v>
      </c>
      <c r="HE2" s="305"/>
    </row>
    <row r="3" spans="1:213" ht="14" x14ac:dyDescent="0.3">
      <c r="A3" s="16" t="s">
        <v>88</v>
      </c>
      <c r="B3" s="16">
        <v>1116</v>
      </c>
      <c r="C3" s="16"/>
      <c r="D3" s="16" t="s">
        <v>88</v>
      </c>
      <c r="E3" s="16">
        <v>1251</v>
      </c>
      <c r="F3" s="16"/>
      <c r="G3" s="16" t="s">
        <v>88</v>
      </c>
      <c r="H3" s="16">
        <v>2760</v>
      </c>
      <c r="I3" s="16"/>
      <c r="J3" s="16" t="s">
        <v>88</v>
      </c>
      <c r="K3" s="16">
        <v>2867</v>
      </c>
      <c r="L3" s="16"/>
      <c r="M3" s="16" t="s">
        <v>88</v>
      </c>
      <c r="N3" s="16">
        <v>3412</v>
      </c>
      <c r="O3" s="16"/>
      <c r="P3" s="16" t="s">
        <v>88</v>
      </c>
      <c r="Q3" s="16">
        <f>N17+2490</f>
        <v>2899</v>
      </c>
      <c r="R3" s="16"/>
      <c r="S3" s="16" t="s">
        <v>88</v>
      </c>
      <c r="T3" s="16">
        <f>Q17+2490</f>
        <v>3200</v>
      </c>
      <c r="U3" s="16"/>
      <c r="V3" s="16" t="s">
        <v>88</v>
      </c>
      <c r="W3" s="16">
        <f>T17+2490</f>
        <v>3338</v>
      </c>
      <c r="X3" s="16"/>
      <c r="Y3" s="16" t="s">
        <v>88</v>
      </c>
      <c r="Z3" s="16">
        <f>2490+W17</f>
        <v>3565</v>
      </c>
      <c r="AA3" s="16"/>
      <c r="AB3" s="16" t="s">
        <v>88</v>
      </c>
      <c r="AC3" s="16">
        <f>Z17+2484</f>
        <v>3934</v>
      </c>
      <c r="AD3" s="16"/>
      <c r="AE3" s="16" t="s">
        <v>88</v>
      </c>
      <c r="AF3" s="16">
        <f>AC17+2484</f>
        <v>4492</v>
      </c>
      <c r="AG3" s="16"/>
      <c r="AH3" s="16" t="s">
        <v>88</v>
      </c>
      <c r="AI3" s="16">
        <f>AF17+2484</f>
        <v>4938</v>
      </c>
      <c r="AJ3" s="16"/>
      <c r="AK3" s="16" t="s">
        <v>88</v>
      </c>
      <c r="AL3" s="16">
        <f>AI18+2484</f>
        <v>3813</v>
      </c>
      <c r="AM3" s="16"/>
      <c r="AN3" s="16" t="s">
        <v>88</v>
      </c>
      <c r="AO3" s="16">
        <f>AL17</f>
        <v>1844</v>
      </c>
      <c r="AP3" s="16"/>
      <c r="AQ3" s="16" t="s">
        <v>88</v>
      </c>
      <c r="AR3" s="16">
        <f>AO17+400+17</f>
        <v>1114</v>
      </c>
      <c r="AS3" s="16"/>
      <c r="AT3" s="16" t="s">
        <v>88</v>
      </c>
      <c r="AU3" s="16">
        <f>AR17+1346</f>
        <v>1346</v>
      </c>
      <c r="AV3" s="16"/>
      <c r="AW3" s="16" t="s">
        <v>88</v>
      </c>
      <c r="AX3" s="16">
        <f>AU17+1400+100</f>
        <v>1510</v>
      </c>
      <c r="AY3" s="16"/>
      <c r="AZ3" s="16" t="s">
        <v>88</v>
      </c>
      <c r="BA3" s="16">
        <f>AX17+1492+1264+295</f>
        <v>3296</v>
      </c>
      <c r="BB3" s="16"/>
      <c r="BC3" s="16" t="s">
        <v>88</v>
      </c>
      <c r="BD3" s="16">
        <f>BA17+2700</f>
        <v>3273</v>
      </c>
      <c r="BE3" s="16"/>
      <c r="BF3" s="16" t="s">
        <v>88</v>
      </c>
      <c r="BG3" s="16">
        <f>BD17+2700</f>
        <v>2711</v>
      </c>
      <c r="BH3" s="16"/>
      <c r="BI3" s="16" t="s">
        <v>88</v>
      </c>
      <c r="BJ3" s="16">
        <f>BG17+2700</f>
        <v>2824</v>
      </c>
      <c r="BK3" s="16"/>
      <c r="BL3" s="16" t="s">
        <v>88</v>
      </c>
      <c r="BM3" s="16">
        <f>BJ17+2683+165+100</f>
        <v>3405</v>
      </c>
      <c r="BN3" s="16"/>
      <c r="BO3" s="16" t="s">
        <v>88</v>
      </c>
      <c r="BP3" s="16">
        <f>BM17+2723+908</f>
        <v>4912</v>
      </c>
      <c r="BQ3" s="16"/>
      <c r="BR3" s="16" t="s">
        <v>88</v>
      </c>
      <c r="BS3" s="16">
        <f>BP17+3037</f>
        <v>5198</v>
      </c>
      <c r="BT3" s="16"/>
      <c r="BU3" s="16" t="s">
        <v>88</v>
      </c>
      <c r="BV3" s="16">
        <f>BS17+3100</f>
        <v>5754</v>
      </c>
      <c r="BW3" s="16"/>
      <c r="BX3" s="16" t="s">
        <v>88</v>
      </c>
      <c r="BY3" s="16">
        <f>BV17+2981</f>
        <v>3338</v>
      </c>
      <c r="BZ3" s="23"/>
      <c r="CA3" s="16" t="s">
        <v>88</v>
      </c>
      <c r="CB3" s="16">
        <f>BY17+3036</f>
        <v>3576</v>
      </c>
      <c r="CC3" s="16"/>
      <c r="CD3" s="16" t="s">
        <v>88</v>
      </c>
      <c r="CE3" s="16">
        <f>CB17+2981+600</f>
        <v>3757</v>
      </c>
      <c r="CF3" s="16"/>
      <c r="CG3" s="16" t="s">
        <v>88</v>
      </c>
      <c r="CH3" s="16">
        <f>CE17+2981+734</f>
        <v>3975</v>
      </c>
      <c r="CI3" s="16"/>
      <c r="CJ3" s="16" t="s">
        <v>88</v>
      </c>
      <c r="CK3" s="16">
        <f>CH17+2981+166+120+184+93</f>
        <v>4497</v>
      </c>
      <c r="CL3" s="16"/>
      <c r="CM3" s="16" t="s">
        <v>88</v>
      </c>
      <c r="CN3" s="16">
        <f>CK17+3015</f>
        <v>4014</v>
      </c>
      <c r="CO3" s="16"/>
      <c r="CP3" s="16" t="s">
        <v>88</v>
      </c>
      <c r="CQ3" s="16">
        <f>CN17+2981+220</f>
        <v>3310</v>
      </c>
      <c r="CR3" s="16"/>
      <c r="CS3" s="16"/>
      <c r="CT3" s="16" t="s">
        <v>88</v>
      </c>
      <c r="CU3" s="16">
        <f>2105</f>
        <v>2105</v>
      </c>
      <c r="CV3" s="16"/>
      <c r="CW3" s="16" t="s">
        <v>88</v>
      </c>
      <c r="CX3" s="16">
        <f>CU18+2100+647</f>
        <v>2747</v>
      </c>
      <c r="CY3" s="16"/>
      <c r="CZ3" s="16" t="s">
        <v>88</v>
      </c>
      <c r="DA3" s="16">
        <f>CX17+2100</f>
        <v>2207</v>
      </c>
      <c r="DB3" s="16"/>
      <c r="DC3" s="16" t="s">
        <v>88</v>
      </c>
      <c r="DD3" s="16">
        <f>DA17+2399</f>
        <v>2864</v>
      </c>
      <c r="DE3" s="16"/>
      <c r="DF3" s="16" t="s">
        <v>88</v>
      </c>
      <c r="DG3" s="16">
        <f>DD17+2399+400</f>
        <v>2937</v>
      </c>
      <c r="DH3" s="16"/>
      <c r="DI3" s="16" t="s">
        <v>88</v>
      </c>
      <c r="DJ3" s="16">
        <f>2914+DG20+300+660+940+50</f>
        <v>4879</v>
      </c>
      <c r="DK3" s="16"/>
      <c r="DL3" s="16" t="s">
        <v>88</v>
      </c>
      <c r="DM3" s="16">
        <f>DJ17+2680</f>
        <v>3627</v>
      </c>
      <c r="DN3" s="16"/>
      <c r="DO3" s="16" t="s">
        <v>88</v>
      </c>
      <c r="DP3" s="16">
        <f>DM17+2540</f>
        <v>3865</v>
      </c>
      <c r="DR3" s="16" t="s">
        <v>88</v>
      </c>
      <c r="DS3" s="16">
        <f>DP17+6204+100</f>
        <v>6568</v>
      </c>
      <c r="DU3" s="16" t="s">
        <v>88</v>
      </c>
      <c r="DV3" s="16">
        <f>DS17+2540</f>
        <v>2652</v>
      </c>
      <c r="DX3" s="16" t="s">
        <v>88</v>
      </c>
      <c r="DY3" s="16">
        <f>DV17+2463+30+75+50</f>
        <v>2623</v>
      </c>
      <c r="EA3" s="16" t="s">
        <v>88</v>
      </c>
      <c r="EB3" s="16">
        <f>DY17+2540</f>
        <v>2540</v>
      </c>
      <c r="ED3" s="16" t="s">
        <v>88</v>
      </c>
      <c r="EE3" s="16">
        <f>EB17+2540</f>
        <v>2553</v>
      </c>
      <c r="EG3" s="16" t="s">
        <v>88</v>
      </c>
      <c r="EH3" s="16">
        <f>EE17+2540</f>
        <v>2557</v>
      </c>
      <c r="EJ3" s="16" t="s">
        <v>88</v>
      </c>
      <c r="EK3" s="16">
        <f>8976+EH17+10+600+100-80+50</f>
        <v>9702</v>
      </c>
      <c r="EL3" s="15"/>
      <c r="EM3" s="24" t="s">
        <v>88</v>
      </c>
      <c r="EN3" s="24">
        <f>EK17+2540-611+271+300</f>
        <v>2500</v>
      </c>
      <c r="EO3" s="21"/>
      <c r="EP3" s="24" t="s">
        <v>88</v>
      </c>
      <c r="EQ3" s="24">
        <f>EN17+5465</f>
        <v>5465</v>
      </c>
      <c r="ER3" s="24"/>
      <c r="ES3" s="24" t="s">
        <v>88</v>
      </c>
      <c r="ET3" s="24">
        <f>EQ17+2769+100</f>
        <v>2875</v>
      </c>
      <c r="EV3" s="24" t="s">
        <v>88</v>
      </c>
      <c r="EW3" s="24">
        <f>ET17+2769+300</f>
        <v>3161</v>
      </c>
      <c r="EY3" s="24" t="s">
        <v>88</v>
      </c>
      <c r="EZ3" s="24">
        <f>EW17+2769+66</f>
        <v>2838</v>
      </c>
      <c r="FB3" s="24" t="s">
        <v>88</v>
      </c>
      <c r="FC3" s="24">
        <f>EZ17+10198+100+50</f>
        <v>10457</v>
      </c>
      <c r="FE3" s="24" t="s">
        <v>88</v>
      </c>
      <c r="FF3" s="24">
        <f>FC17+2772+250+135+150+54</f>
        <v>4623</v>
      </c>
      <c r="FH3" s="24" t="s">
        <v>88</v>
      </c>
      <c r="FI3" s="24">
        <f>FF17+5748+50+1700+50+25+55+50+50+50</f>
        <v>7901</v>
      </c>
      <c r="FK3" s="24" t="s">
        <v>88</v>
      </c>
      <c r="FL3" s="24">
        <f>FI17+2769+400+40+29</f>
        <v>4018</v>
      </c>
      <c r="FN3" s="24" t="s">
        <v>88</v>
      </c>
      <c r="FO3" s="24">
        <f>FL17+2769-13+300+1600+6000</f>
        <v>11222</v>
      </c>
      <c r="FQ3" s="24" t="s">
        <v>88</v>
      </c>
      <c r="FR3" s="24">
        <f>FO17+2769-708+38</f>
        <v>4116</v>
      </c>
      <c r="FT3" s="24" t="s">
        <v>88</v>
      </c>
      <c r="FU3" s="24">
        <f>FR17+5489+85+461+5035+2968+250</f>
        <v>15865</v>
      </c>
      <c r="FV3" s="24"/>
      <c r="FW3" s="24" t="s">
        <v>88</v>
      </c>
      <c r="FX3" s="24">
        <f>FU17+5213+518+6156</f>
        <v>11893</v>
      </c>
      <c r="FY3" s="24"/>
      <c r="FZ3" s="24" t="s">
        <v>88</v>
      </c>
      <c r="GA3" s="24">
        <f>FX17+5208</f>
        <v>9495</v>
      </c>
      <c r="GB3" s="192"/>
      <c r="GC3" s="24" t="s">
        <v>88</v>
      </c>
      <c r="GD3" s="24">
        <f>GA17+5208+50+280+113</f>
        <v>7427</v>
      </c>
      <c r="GE3" s="24"/>
      <c r="GF3" s="24" t="s">
        <v>88</v>
      </c>
      <c r="GG3" s="24">
        <f>GD17+5208</f>
        <v>7164</v>
      </c>
      <c r="GH3" s="24"/>
      <c r="GI3" s="24" t="s">
        <v>88</v>
      </c>
      <c r="GJ3" s="24">
        <f>GG17+5208</f>
        <v>9079</v>
      </c>
      <c r="GK3" s="24"/>
      <c r="GL3" s="24" t="s">
        <v>88</v>
      </c>
      <c r="GM3" s="24">
        <f>GJ17+5208+(5208/2)</f>
        <v>14997</v>
      </c>
      <c r="GN3" s="24"/>
      <c r="GO3" s="24" t="s">
        <v>88</v>
      </c>
      <c r="GP3" s="24">
        <f>GM17+5208</f>
        <v>18401</v>
      </c>
      <c r="GQ3" s="24"/>
      <c r="GR3" s="24" t="s">
        <v>88</v>
      </c>
      <c r="GS3" s="24">
        <f>GP17+5208</f>
        <v>21816</v>
      </c>
      <c r="GT3" s="24"/>
      <c r="GU3" s="24" t="s">
        <v>88</v>
      </c>
      <c r="GV3" s="24">
        <f>GS17+5208</f>
        <v>25231</v>
      </c>
      <c r="GX3" s="24" t="s">
        <v>88</v>
      </c>
      <c r="GY3" s="24">
        <f>GV17+5208</f>
        <v>28646</v>
      </c>
      <c r="HA3" s="24" t="s">
        <v>88</v>
      </c>
      <c r="HB3" s="24">
        <f>GY17+5208</f>
        <v>32061</v>
      </c>
      <c r="HD3" s="24" t="s">
        <v>88</v>
      </c>
      <c r="HE3" s="24">
        <f>HB17+5208+(5208/2)</f>
        <v>38080</v>
      </c>
    </row>
    <row r="4" spans="1:213" ht="14" x14ac:dyDescent="0.3">
      <c r="A4" s="16"/>
      <c r="B4" s="16"/>
      <c r="C4" s="16"/>
      <c r="D4" s="25"/>
      <c r="E4" s="25"/>
      <c r="F4" s="16"/>
      <c r="G4" s="26" t="s">
        <v>89</v>
      </c>
      <c r="H4" s="26">
        <v>120</v>
      </c>
      <c r="I4" s="16"/>
      <c r="J4" s="16"/>
      <c r="K4" s="16"/>
      <c r="L4" s="16"/>
      <c r="M4" s="16"/>
      <c r="N4" s="16"/>
      <c r="O4" s="16"/>
      <c r="P4" s="25" t="s">
        <v>90</v>
      </c>
      <c r="Q4" s="25">
        <v>50</v>
      </c>
      <c r="R4" s="16"/>
      <c r="S4" s="25" t="s">
        <v>91</v>
      </c>
      <c r="T4" s="25">
        <v>303</v>
      </c>
      <c r="U4" s="16"/>
      <c r="V4" s="25" t="s">
        <v>92</v>
      </c>
      <c r="W4" s="25">
        <v>250</v>
      </c>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23"/>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27"/>
      <c r="DL4" s="16"/>
      <c r="DM4" s="16"/>
      <c r="DN4" s="16"/>
      <c r="DO4" s="16"/>
      <c r="DP4" s="16"/>
      <c r="DR4" s="16"/>
      <c r="DS4" s="16"/>
      <c r="DU4" s="16"/>
      <c r="DV4" s="16"/>
      <c r="DX4" s="16"/>
      <c r="DY4" s="16"/>
      <c r="EA4" s="16"/>
      <c r="EB4" s="16"/>
      <c r="ED4" s="16"/>
      <c r="EE4" s="16"/>
      <c r="EG4" s="16"/>
      <c r="EH4" s="16"/>
      <c r="EJ4" s="28" t="s">
        <v>93</v>
      </c>
      <c r="EK4" s="28">
        <v>12</v>
      </c>
      <c r="EL4" s="15"/>
      <c r="EM4" s="24"/>
      <c r="EN4" s="24"/>
      <c r="EO4" s="21"/>
      <c r="EP4" s="24"/>
      <c r="EQ4" s="24"/>
      <c r="ER4" s="24"/>
      <c r="ES4" s="24"/>
      <c r="ET4" s="24"/>
      <c r="EV4" s="24"/>
      <c r="EW4" s="24"/>
      <c r="EY4" s="24"/>
      <c r="EZ4" s="24"/>
      <c r="FB4" s="24"/>
      <c r="FC4" s="24"/>
      <c r="FE4" s="24"/>
      <c r="FF4" s="24"/>
      <c r="FH4" s="24"/>
      <c r="FI4" s="24"/>
      <c r="FK4" s="24"/>
      <c r="FL4" s="24"/>
      <c r="FN4" s="24"/>
      <c r="FO4" s="24"/>
      <c r="FQ4" s="24"/>
      <c r="FR4" s="24"/>
      <c r="FT4" s="24"/>
      <c r="FU4" s="24"/>
      <c r="FV4" s="20"/>
      <c r="FW4" s="24"/>
      <c r="FX4" s="24"/>
      <c r="FY4" s="20"/>
      <c r="FZ4" s="24"/>
      <c r="GA4" s="24"/>
      <c r="GB4" s="24"/>
      <c r="GC4" s="24"/>
      <c r="GD4" s="24"/>
      <c r="GE4" s="24"/>
      <c r="GF4" s="24"/>
      <c r="GG4" s="24"/>
      <c r="GH4" s="24"/>
      <c r="GI4" s="24"/>
      <c r="GJ4" s="24"/>
      <c r="GK4" s="24"/>
      <c r="GL4" s="24"/>
      <c r="GM4" s="24"/>
      <c r="GN4" s="24"/>
      <c r="GO4" s="24"/>
      <c r="GP4" s="24"/>
      <c r="GQ4" s="24"/>
      <c r="GR4" s="24"/>
      <c r="GS4" s="24"/>
      <c r="GT4" s="24"/>
      <c r="GU4" s="24"/>
      <c r="GV4" s="24"/>
      <c r="GX4" s="24"/>
      <c r="GY4" s="24"/>
      <c r="HA4" s="24"/>
      <c r="HB4" s="24"/>
      <c r="HD4" s="24"/>
      <c r="HE4" s="24"/>
    </row>
    <row r="5" spans="1:213" ht="14" x14ac:dyDescent="0.3">
      <c r="A5" s="16"/>
      <c r="B5" s="16"/>
      <c r="C5" s="16"/>
      <c r="D5" s="25"/>
      <c r="E5" s="25"/>
      <c r="F5" s="16"/>
      <c r="G5" s="26" t="s">
        <v>94</v>
      </c>
      <c r="H5" s="26">
        <v>80</v>
      </c>
      <c r="I5" s="16"/>
      <c r="J5" s="26" t="s">
        <v>95</v>
      </c>
      <c r="K5" s="26">
        <v>1158</v>
      </c>
      <c r="L5" s="16"/>
      <c r="M5" s="16"/>
      <c r="N5" s="16"/>
      <c r="O5" s="16"/>
      <c r="P5" s="25"/>
      <c r="Q5" s="25"/>
      <c r="R5" s="29" t="s">
        <v>96</v>
      </c>
      <c r="S5" s="25" t="s">
        <v>97</v>
      </c>
      <c r="T5" s="25">
        <v>200</v>
      </c>
      <c r="U5" s="16"/>
      <c r="V5" s="25" t="s">
        <v>94</v>
      </c>
      <c r="W5" s="25">
        <v>257</v>
      </c>
      <c r="X5" s="16"/>
      <c r="Y5" s="25" t="s">
        <v>98</v>
      </c>
      <c r="Z5" s="25">
        <v>213</v>
      </c>
      <c r="AA5" s="16"/>
      <c r="AB5" s="25" t="s">
        <v>99</v>
      </c>
      <c r="AC5" s="25">
        <v>290</v>
      </c>
      <c r="AD5" s="16"/>
      <c r="AE5" s="25" t="s">
        <v>99</v>
      </c>
      <c r="AF5" s="25">
        <v>290</v>
      </c>
      <c r="AG5" s="16"/>
      <c r="AH5" s="25" t="s">
        <v>99</v>
      </c>
      <c r="AI5" s="25">
        <v>290</v>
      </c>
      <c r="AJ5" s="16"/>
      <c r="AK5" s="25" t="s">
        <v>99</v>
      </c>
      <c r="AL5" s="25">
        <v>290</v>
      </c>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25"/>
      <c r="CQ5" s="25"/>
      <c r="CR5" s="16"/>
      <c r="CS5" s="16"/>
      <c r="CT5" s="28" t="s">
        <v>100</v>
      </c>
      <c r="CU5" s="28">
        <v>18</v>
      </c>
      <c r="CV5" s="16"/>
      <c r="CW5" s="28" t="s">
        <v>100</v>
      </c>
      <c r="CX5" s="28">
        <v>18</v>
      </c>
      <c r="CY5" s="16"/>
      <c r="CZ5" s="28" t="s">
        <v>100</v>
      </c>
      <c r="DA5" s="28">
        <v>3</v>
      </c>
      <c r="DB5" s="16"/>
      <c r="DC5" s="16"/>
      <c r="DD5" s="16"/>
      <c r="DE5" s="16"/>
      <c r="DF5" s="16"/>
      <c r="DG5" s="16"/>
      <c r="DH5" s="16"/>
      <c r="DI5" s="16"/>
      <c r="DJ5" s="16"/>
      <c r="DK5" s="16"/>
      <c r="DL5" s="16"/>
      <c r="DM5" s="16"/>
      <c r="DN5" s="16"/>
      <c r="DO5" s="16"/>
      <c r="DP5" s="16"/>
      <c r="DR5" s="16"/>
      <c r="DS5" s="16"/>
      <c r="DU5" s="16"/>
      <c r="DV5" s="16"/>
      <c r="DX5" s="16"/>
      <c r="DY5" s="16"/>
      <c r="EA5" s="1"/>
      <c r="EB5" s="1"/>
      <c r="ED5" s="16"/>
      <c r="EE5" s="16"/>
      <c r="EG5" s="16"/>
      <c r="EH5" s="16"/>
      <c r="EJ5" s="28" t="s">
        <v>101</v>
      </c>
      <c r="EK5" s="28">
        <v>79</v>
      </c>
      <c r="EL5" s="15"/>
      <c r="EM5" s="24"/>
      <c r="EN5" s="24"/>
      <c r="EO5" s="21"/>
      <c r="EP5" s="24"/>
      <c r="EQ5" s="24"/>
      <c r="ER5" s="24"/>
      <c r="ES5" s="24"/>
      <c r="ET5" s="24"/>
      <c r="EV5" s="24"/>
      <c r="EW5" s="24"/>
      <c r="EY5" s="24"/>
      <c r="EZ5" s="24"/>
      <c r="FB5" s="24"/>
      <c r="FC5" s="24"/>
      <c r="FE5" s="24"/>
      <c r="FF5" s="24"/>
      <c r="FH5" s="24"/>
      <c r="FI5" s="24"/>
      <c r="FK5" s="24"/>
      <c r="FL5" s="24"/>
      <c r="FN5" s="24"/>
      <c r="FO5" s="24"/>
      <c r="FQ5" s="24"/>
      <c r="FR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X5" s="24"/>
      <c r="GY5" s="24"/>
      <c r="HA5" s="24"/>
      <c r="HB5" s="24"/>
      <c r="HD5" s="24"/>
      <c r="HE5" s="24"/>
    </row>
    <row r="6" spans="1:213" ht="14" x14ac:dyDescent="0.3">
      <c r="A6" s="26" t="s">
        <v>102</v>
      </c>
      <c r="B6" s="26">
        <v>150</v>
      </c>
      <c r="C6" s="16"/>
      <c r="D6" s="25"/>
      <c r="E6" s="25"/>
      <c r="F6" s="16"/>
      <c r="G6" s="26" t="s">
        <v>103</v>
      </c>
      <c r="H6" s="26">
        <v>150</v>
      </c>
      <c r="I6" s="16"/>
      <c r="J6" s="26" t="s">
        <v>104</v>
      </c>
      <c r="K6" s="26">
        <v>110</v>
      </c>
      <c r="L6" s="16"/>
      <c r="M6" s="25" t="s">
        <v>99</v>
      </c>
      <c r="N6" s="25">
        <v>290</v>
      </c>
      <c r="O6" s="16"/>
      <c r="P6" s="25" t="s">
        <v>99</v>
      </c>
      <c r="Q6" s="25">
        <v>290</v>
      </c>
      <c r="R6" s="16"/>
      <c r="S6" s="25" t="s">
        <v>99</v>
      </c>
      <c r="T6" s="25">
        <v>290</v>
      </c>
      <c r="U6" s="16"/>
      <c r="V6" s="25" t="s">
        <v>99</v>
      </c>
      <c r="W6" s="25">
        <v>290</v>
      </c>
      <c r="X6" s="16"/>
      <c r="Y6" s="25" t="s">
        <v>99</v>
      </c>
      <c r="Z6" s="25">
        <v>290</v>
      </c>
      <c r="AA6" s="16"/>
      <c r="AB6" s="25" t="s">
        <v>105</v>
      </c>
      <c r="AC6" s="25">
        <v>300</v>
      </c>
      <c r="AD6" s="16"/>
      <c r="AE6" s="25" t="s">
        <v>105</v>
      </c>
      <c r="AF6" s="25">
        <v>300</v>
      </c>
      <c r="AG6" s="16"/>
      <c r="AH6" s="25" t="s">
        <v>105</v>
      </c>
      <c r="AI6" s="25">
        <v>300</v>
      </c>
      <c r="AJ6" s="16"/>
      <c r="AK6" s="25" t="s">
        <v>105</v>
      </c>
      <c r="AL6" s="25">
        <v>300</v>
      </c>
      <c r="AM6" s="16"/>
      <c r="AN6" s="25" t="s">
        <v>105</v>
      </c>
      <c r="AO6" s="25">
        <v>310</v>
      </c>
      <c r="AP6" s="16"/>
      <c r="AQ6" s="25" t="s">
        <v>105</v>
      </c>
      <c r="AR6" s="25">
        <v>100</v>
      </c>
      <c r="AS6" s="16"/>
      <c r="AT6" s="25" t="s">
        <v>105</v>
      </c>
      <c r="AU6" s="25">
        <v>150</v>
      </c>
      <c r="AV6" s="16"/>
      <c r="AW6" s="25" t="s">
        <v>105</v>
      </c>
      <c r="AX6" s="25">
        <v>210</v>
      </c>
      <c r="AY6" s="16"/>
      <c r="AZ6" s="25" t="s">
        <v>105</v>
      </c>
      <c r="BA6" s="25">
        <v>200</v>
      </c>
      <c r="BB6" s="16"/>
      <c r="BC6" s="25" t="s">
        <v>105</v>
      </c>
      <c r="BD6" s="25">
        <v>300</v>
      </c>
      <c r="BE6" s="16"/>
      <c r="BF6" s="25" t="s">
        <v>105</v>
      </c>
      <c r="BG6" s="25">
        <v>300</v>
      </c>
      <c r="BH6" s="16"/>
      <c r="BI6" s="25" t="s">
        <v>105</v>
      </c>
      <c r="BJ6" s="25">
        <v>300</v>
      </c>
      <c r="BK6" s="16"/>
      <c r="BL6" s="25" t="s">
        <v>105</v>
      </c>
      <c r="BM6" s="25">
        <v>300</v>
      </c>
      <c r="BN6" s="16"/>
      <c r="BO6" s="25" t="s">
        <v>105</v>
      </c>
      <c r="BP6" s="25">
        <v>300</v>
      </c>
      <c r="BQ6" s="16"/>
      <c r="BR6" s="25" t="s">
        <v>105</v>
      </c>
      <c r="BS6" s="25">
        <v>300</v>
      </c>
      <c r="BT6" s="16"/>
      <c r="BU6" s="25" t="s">
        <v>105</v>
      </c>
      <c r="BV6" s="25">
        <v>200</v>
      </c>
      <c r="BW6" s="16"/>
      <c r="BX6" s="25" t="s">
        <v>105</v>
      </c>
      <c r="BY6" s="25">
        <v>200</v>
      </c>
      <c r="BZ6" s="16"/>
      <c r="CA6" s="25" t="s">
        <v>105</v>
      </c>
      <c r="CB6" s="25">
        <v>200</v>
      </c>
      <c r="CC6" s="16"/>
      <c r="CD6" s="25" t="s">
        <v>105</v>
      </c>
      <c r="CE6" s="25">
        <v>200</v>
      </c>
      <c r="CF6" s="16"/>
      <c r="CG6" s="25" t="s">
        <v>105</v>
      </c>
      <c r="CH6" s="25">
        <v>200</v>
      </c>
      <c r="CI6" s="16"/>
      <c r="CJ6" s="25" t="s">
        <v>105</v>
      </c>
      <c r="CK6" s="25">
        <v>200</v>
      </c>
      <c r="CL6" s="16"/>
      <c r="CM6" s="25" t="s">
        <v>105</v>
      </c>
      <c r="CN6" s="25">
        <v>200</v>
      </c>
      <c r="CO6" s="16"/>
      <c r="CP6" s="25" t="s">
        <v>105</v>
      </c>
      <c r="CQ6" s="25">
        <v>200</v>
      </c>
      <c r="CR6" s="16"/>
      <c r="CS6" s="16"/>
      <c r="CT6" s="28" t="s">
        <v>105</v>
      </c>
      <c r="CU6" s="28">
        <v>200</v>
      </c>
      <c r="CV6" s="16"/>
      <c r="CW6" s="28" t="s">
        <v>105</v>
      </c>
      <c r="CX6" s="28">
        <v>200</v>
      </c>
      <c r="CY6" s="16"/>
      <c r="CZ6" s="28" t="s">
        <v>105</v>
      </c>
      <c r="DA6" s="28">
        <v>250</v>
      </c>
      <c r="DB6" s="16"/>
      <c r="DC6" s="28" t="s">
        <v>105</v>
      </c>
      <c r="DD6" s="28">
        <v>200</v>
      </c>
      <c r="DE6" s="16"/>
      <c r="DF6" s="28" t="s">
        <v>105</v>
      </c>
      <c r="DG6" s="28">
        <v>200</v>
      </c>
      <c r="DH6" s="16"/>
      <c r="DI6" s="28" t="s">
        <v>105</v>
      </c>
      <c r="DJ6" s="28">
        <v>300</v>
      </c>
      <c r="DK6" s="16"/>
      <c r="DL6" s="28" t="s">
        <v>105</v>
      </c>
      <c r="DM6" s="28">
        <v>300</v>
      </c>
      <c r="DN6" s="16"/>
      <c r="DO6" s="28" t="s">
        <v>105</v>
      </c>
      <c r="DP6" s="28">
        <v>300</v>
      </c>
      <c r="DR6" s="28" t="s">
        <v>105</v>
      </c>
      <c r="DS6" s="28">
        <v>600</v>
      </c>
      <c r="DU6" s="28" t="s">
        <v>105</v>
      </c>
      <c r="DV6" s="28">
        <v>500</v>
      </c>
      <c r="DX6" s="28" t="s">
        <v>105</v>
      </c>
      <c r="DY6" s="28">
        <v>550</v>
      </c>
      <c r="EA6" s="28" t="s">
        <v>105</v>
      </c>
      <c r="EB6" s="28">
        <v>500</v>
      </c>
      <c r="ED6" s="28" t="s">
        <v>105</v>
      </c>
      <c r="EE6" s="28">
        <v>506</v>
      </c>
      <c r="EG6" s="28" t="s">
        <v>105</v>
      </c>
      <c r="EH6" s="28">
        <v>500</v>
      </c>
      <c r="EJ6" s="28" t="s">
        <v>105</v>
      </c>
      <c r="EK6" s="28">
        <v>500</v>
      </c>
      <c r="EL6" s="15"/>
      <c r="EM6" s="30" t="s">
        <v>105</v>
      </c>
      <c r="EN6" s="30">
        <v>500</v>
      </c>
      <c r="EO6" s="21"/>
      <c r="EP6" s="30" t="s">
        <v>105</v>
      </c>
      <c r="EQ6" s="30">
        <v>500</v>
      </c>
      <c r="ER6" s="24"/>
      <c r="ES6" s="30" t="s">
        <v>105</v>
      </c>
      <c r="ET6" s="30">
        <v>500</v>
      </c>
      <c r="EV6" s="30" t="s">
        <v>105</v>
      </c>
      <c r="EW6" s="30">
        <v>500</v>
      </c>
      <c r="EY6" s="30" t="s">
        <v>105</v>
      </c>
      <c r="EZ6" s="30">
        <v>500</v>
      </c>
      <c r="FB6" s="30" t="s">
        <v>105</v>
      </c>
      <c r="FC6" s="30">
        <v>500</v>
      </c>
      <c r="FE6" s="30" t="s">
        <v>105</v>
      </c>
      <c r="FF6" s="30">
        <v>550</v>
      </c>
      <c r="FH6" s="30" t="s">
        <v>105</v>
      </c>
      <c r="FI6" s="30">
        <v>500</v>
      </c>
      <c r="FK6" s="30" t="s">
        <v>105</v>
      </c>
      <c r="FL6" s="30">
        <v>500</v>
      </c>
      <c r="FN6" s="30" t="s">
        <v>105</v>
      </c>
      <c r="FO6" s="30">
        <v>500</v>
      </c>
      <c r="FQ6" s="31" t="s">
        <v>105</v>
      </c>
      <c r="FR6" s="31">
        <v>500</v>
      </c>
      <c r="FT6" s="31" t="s">
        <v>105</v>
      </c>
      <c r="FU6" s="31">
        <v>500</v>
      </c>
      <c r="FV6" s="20"/>
      <c r="FW6" s="182" t="s">
        <v>105</v>
      </c>
      <c r="FX6" s="182">
        <v>500</v>
      </c>
      <c r="FY6" s="20"/>
      <c r="FZ6" s="182" t="s">
        <v>105</v>
      </c>
      <c r="GA6" s="182">
        <v>508</v>
      </c>
      <c r="GB6" s="24"/>
      <c r="GC6" s="182" t="s">
        <v>105</v>
      </c>
      <c r="GD6" s="182">
        <v>508</v>
      </c>
      <c r="GE6" s="24"/>
      <c r="GF6" s="182" t="s">
        <v>105</v>
      </c>
      <c r="GG6" s="182">
        <v>508</v>
      </c>
      <c r="GH6" s="24"/>
      <c r="GI6" s="24" t="s">
        <v>105</v>
      </c>
      <c r="GJ6" s="24">
        <v>508</v>
      </c>
      <c r="GK6" s="24"/>
      <c r="GL6" s="24" t="s">
        <v>105</v>
      </c>
      <c r="GM6" s="24">
        <v>508</v>
      </c>
      <c r="GN6" s="24"/>
      <c r="GO6" s="24" t="s">
        <v>105</v>
      </c>
      <c r="GP6" s="24">
        <v>508</v>
      </c>
      <c r="GQ6" s="24"/>
      <c r="GR6" s="24" t="s">
        <v>105</v>
      </c>
      <c r="GS6" s="24">
        <v>508</v>
      </c>
      <c r="GT6" s="24"/>
      <c r="GU6" s="24" t="s">
        <v>105</v>
      </c>
      <c r="GV6" s="24">
        <v>508</v>
      </c>
      <c r="GX6" s="24" t="s">
        <v>105</v>
      </c>
      <c r="GY6" s="24">
        <v>508</v>
      </c>
      <c r="HA6" s="24" t="s">
        <v>105</v>
      </c>
      <c r="HB6" s="24">
        <v>508</v>
      </c>
      <c r="HD6" s="24" t="s">
        <v>105</v>
      </c>
      <c r="HE6" s="24">
        <v>508</v>
      </c>
    </row>
    <row r="7" spans="1:213" ht="14" x14ac:dyDescent="0.3">
      <c r="A7" s="26" t="s">
        <v>106</v>
      </c>
      <c r="B7" s="26">
        <v>320</v>
      </c>
      <c r="C7" s="16"/>
      <c r="D7" s="26" t="s">
        <v>107</v>
      </c>
      <c r="E7" s="26">
        <v>62</v>
      </c>
      <c r="F7" s="16"/>
      <c r="G7" s="26" t="s">
        <v>108</v>
      </c>
      <c r="H7" s="26">
        <v>121</v>
      </c>
      <c r="I7" s="16"/>
      <c r="J7" s="26" t="s">
        <v>99</v>
      </c>
      <c r="K7" s="26">
        <v>290</v>
      </c>
      <c r="L7" s="16"/>
      <c r="M7" s="25" t="s">
        <v>109</v>
      </c>
      <c r="N7" s="25"/>
      <c r="O7" s="16"/>
      <c r="P7" s="25" t="s">
        <v>110</v>
      </c>
      <c r="Q7" s="25">
        <v>90</v>
      </c>
      <c r="R7" s="16"/>
      <c r="S7" s="25" t="s">
        <v>105</v>
      </c>
      <c r="T7" s="25">
        <v>300</v>
      </c>
      <c r="U7" s="16"/>
      <c r="V7" s="25" t="s">
        <v>111</v>
      </c>
      <c r="W7" s="25">
        <f>W25</f>
        <v>279</v>
      </c>
      <c r="X7" s="16"/>
      <c r="Y7" s="25" t="s">
        <v>102</v>
      </c>
      <c r="Z7" s="25">
        <v>122</v>
      </c>
      <c r="AA7" s="16"/>
      <c r="AB7" s="25" t="s">
        <v>112</v>
      </c>
      <c r="AC7" s="25">
        <v>34</v>
      </c>
      <c r="AD7" s="16"/>
      <c r="AE7" s="25" t="s">
        <v>112</v>
      </c>
      <c r="AF7" s="25">
        <v>34</v>
      </c>
      <c r="AG7" s="16"/>
      <c r="AH7" s="25" t="s">
        <v>112</v>
      </c>
      <c r="AI7" s="25">
        <v>69</v>
      </c>
      <c r="AJ7" s="16"/>
      <c r="AK7" s="25" t="s">
        <v>112</v>
      </c>
      <c r="AL7" s="25">
        <v>70</v>
      </c>
      <c r="AM7" s="16"/>
      <c r="AN7" s="25" t="s">
        <v>112</v>
      </c>
      <c r="AO7" s="25">
        <v>45</v>
      </c>
      <c r="AP7" s="16"/>
      <c r="AQ7" s="25" t="s">
        <v>112</v>
      </c>
      <c r="AR7" s="25">
        <v>45</v>
      </c>
      <c r="AS7" s="32"/>
      <c r="AT7" s="16" t="s">
        <v>112</v>
      </c>
      <c r="AU7" s="16"/>
      <c r="AV7" s="16"/>
      <c r="AW7" s="25" t="s">
        <v>112</v>
      </c>
      <c r="AX7" s="25">
        <v>45</v>
      </c>
      <c r="AY7" s="16"/>
      <c r="AZ7" s="25" t="s">
        <v>112</v>
      </c>
      <c r="BA7" s="25">
        <v>56</v>
      </c>
      <c r="BB7" s="16"/>
      <c r="BC7" s="25" t="s">
        <v>112</v>
      </c>
      <c r="BD7" s="25">
        <v>55</v>
      </c>
      <c r="BE7" s="16"/>
      <c r="BF7" s="25" t="s">
        <v>112</v>
      </c>
      <c r="BG7" s="25">
        <v>56</v>
      </c>
      <c r="BH7" s="16"/>
      <c r="BI7" s="25" t="s">
        <v>112</v>
      </c>
      <c r="BJ7" s="25">
        <v>56</v>
      </c>
      <c r="BK7" s="16"/>
      <c r="BL7" s="25" t="s">
        <v>112</v>
      </c>
      <c r="BM7" s="25">
        <v>56</v>
      </c>
      <c r="BN7" s="16"/>
      <c r="BO7" s="25" t="s">
        <v>112</v>
      </c>
      <c r="BP7" s="25">
        <v>56</v>
      </c>
      <c r="BQ7" s="16"/>
      <c r="BR7" s="25" t="s">
        <v>112</v>
      </c>
      <c r="BS7" s="25">
        <v>56</v>
      </c>
      <c r="BT7" s="16"/>
      <c r="BU7" s="25" t="s">
        <v>112</v>
      </c>
      <c r="BV7" s="25">
        <v>56</v>
      </c>
      <c r="BW7" s="16"/>
      <c r="BX7" s="25" t="s">
        <v>112</v>
      </c>
      <c r="BY7" s="25">
        <v>56</v>
      </c>
      <c r="BZ7" s="16"/>
      <c r="CA7" s="25" t="s">
        <v>112</v>
      </c>
      <c r="CB7" s="25">
        <v>56</v>
      </c>
      <c r="CC7" s="16"/>
      <c r="CD7" s="25" t="s">
        <v>112</v>
      </c>
      <c r="CE7" s="25">
        <v>56</v>
      </c>
      <c r="CF7" s="16"/>
      <c r="CG7" s="25" t="s">
        <v>112</v>
      </c>
      <c r="CH7" s="25">
        <v>56</v>
      </c>
      <c r="CI7" s="16"/>
      <c r="CJ7" s="25" t="s">
        <v>112</v>
      </c>
      <c r="CK7" s="25">
        <v>56</v>
      </c>
      <c r="CL7" s="16"/>
      <c r="CM7" s="25" t="s">
        <v>112</v>
      </c>
      <c r="CN7" s="25">
        <v>56</v>
      </c>
      <c r="CO7" s="16"/>
      <c r="CP7" s="16" t="s">
        <v>112</v>
      </c>
      <c r="CQ7" s="16">
        <v>56</v>
      </c>
      <c r="CR7" s="16"/>
      <c r="CS7" s="16"/>
      <c r="CT7" s="28" t="s">
        <v>113</v>
      </c>
      <c r="CU7" s="28">
        <v>63</v>
      </c>
      <c r="CV7" s="16"/>
      <c r="CW7" s="28" t="s">
        <v>112</v>
      </c>
      <c r="CX7" s="28">
        <v>60</v>
      </c>
      <c r="CY7" s="16"/>
      <c r="CZ7" s="28" t="s">
        <v>112</v>
      </c>
      <c r="DA7" s="28">
        <v>60</v>
      </c>
      <c r="DB7" s="16"/>
      <c r="DC7" s="28" t="s">
        <v>112</v>
      </c>
      <c r="DD7" s="28">
        <v>74</v>
      </c>
      <c r="DE7" s="16"/>
      <c r="DF7" s="28" t="s">
        <v>112</v>
      </c>
      <c r="DG7" s="28">
        <v>60</v>
      </c>
      <c r="DH7" s="16"/>
      <c r="DI7" s="28" t="s">
        <v>112</v>
      </c>
      <c r="DJ7" s="28">
        <v>60</v>
      </c>
      <c r="DK7" s="16"/>
      <c r="DL7" s="28" t="s">
        <v>112</v>
      </c>
      <c r="DM7" s="28">
        <v>60</v>
      </c>
      <c r="DN7" s="16"/>
      <c r="DO7" s="28" t="s">
        <v>112</v>
      </c>
      <c r="DP7" s="28"/>
      <c r="DR7" s="28" t="s">
        <v>112</v>
      </c>
      <c r="DS7" s="28">
        <v>60</v>
      </c>
      <c r="DU7" s="28" t="s">
        <v>112</v>
      </c>
      <c r="DV7" s="28">
        <v>60</v>
      </c>
      <c r="DX7" s="28" t="s">
        <v>112</v>
      </c>
      <c r="DY7" s="28">
        <v>60</v>
      </c>
      <c r="EA7" s="28" t="s">
        <v>112</v>
      </c>
      <c r="EB7" s="28">
        <v>65</v>
      </c>
      <c r="ED7" s="28" t="s">
        <v>112</v>
      </c>
      <c r="EE7" s="28">
        <v>52</v>
      </c>
      <c r="EG7" s="28" t="s">
        <v>112</v>
      </c>
      <c r="EH7" s="28">
        <v>68</v>
      </c>
      <c r="EJ7" s="28" t="s">
        <v>112</v>
      </c>
      <c r="EK7" s="28">
        <v>44</v>
      </c>
      <c r="EL7" s="15"/>
      <c r="EM7" s="30" t="s">
        <v>112</v>
      </c>
      <c r="EN7" s="30">
        <v>60</v>
      </c>
      <c r="EO7" s="21"/>
      <c r="EP7" s="30" t="s">
        <v>112</v>
      </c>
      <c r="EQ7" s="30">
        <v>47</v>
      </c>
      <c r="ER7" s="24"/>
      <c r="ES7" s="30" t="s">
        <v>112</v>
      </c>
      <c r="ET7" s="30">
        <v>47</v>
      </c>
      <c r="EV7" s="30" t="s">
        <v>112</v>
      </c>
      <c r="EW7" s="30">
        <v>47</v>
      </c>
      <c r="EY7" s="30" t="s">
        <v>112</v>
      </c>
      <c r="EZ7" s="30">
        <v>47</v>
      </c>
      <c r="FB7" s="30" t="s">
        <v>112</v>
      </c>
      <c r="FC7" s="28">
        <v>47</v>
      </c>
      <c r="FE7" s="30" t="s">
        <v>112</v>
      </c>
      <c r="FF7" s="30">
        <v>47</v>
      </c>
      <c r="FG7" s="21"/>
      <c r="FH7" s="30" t="s">
        <v>112</v>
      </c>
      <c r="FI7" s="30">
        <v>47</v>
      </c>
      <c r="FK7" s="30" t="s">
        <v>112</v>
      </c>
      <c r="FL7" s="30">
        <v>47</v>
      </c>
      <c r="FN7" s="30" t="s">
        <v>112</v>
      </c>
      <c r="FO7" s="30">
        <v>47</v>
      </c>
      <c r="FQ7" s="30" t="s">
        <v>112</v>
      </c>
      <c r="FR7" s="30">
        <v>45</v>
      </c>
      <c r="FT7" s="31" t="s">
        <v>112</v>
      </c>
      <c r="FU7" s="31">
        <v>47</v>
      </c>
      <c r="FV7" s="24"/>
      <c r="FW7" s="182" t="s">
        <v>112</v>
      </c>
      <c r="FX7" s="183">
        <v>48</v>
      </c>
      <c r="FY7" s="24"/>
      <c r="FZ7" s="182" t="s">
        <v>112</v>
      </c>
      <c r="GA7" s="183">
        <v>48</v>
      </c>
      <c r="GB7" s="24"/>
      <c r="GC7" s="182" t="s">
        <v>112</v>
      </c>
      <c r="GD7" s="183">
        <v>48</v>
      </c>
      <c r="GE7" s="24"/>
      <c r="GF7" s="182" t="s">
        <v>112</v>
      </c>
      <c r="GG7" s="183">
        <v>48</v>
      </c>
      <c r="GH7" s="24"/>
      <c r="GI7" s="24" t="s">
        <v>112</v>
      </c>
      <c r="GJ7" s="33">
        <v>48</v>
      </c>
      <c r="GK7" s="24"/>
      <c r="GL7" s="24" t="s">
        <v>112</v>
      </c>
      <c r="GM7" s="33">
        <v>48</v>
      </c>
      <c r="GN7" s="24"/>
      <c r="GO7" s="24" t="s">
        <v>112</v>
      </c>
      <c r="GP7" s="33">
        <v>48</v>
      </c>
      <c r="GQ7" s="24"/>
      <c r="GR7" s="24" t="s">
        <v>112</v>
      </c>
      <c r="GS7" s="33">
        <v>48</v>
      </c>
      <c r="GT7" s="24"/>
      <c r="GU7" s="24" t="s">
        <v>112</v>
      </c>
      <c r="GV7" s="33">
        <v>48</v>
      </c>
      <c r="GX7" s="24" t="s">
        <v>112</v>
      </c>
      <c r="GY7" s="33">
        <v>48</v>
      </c>
      <c r="HA7" s="24" t="s">
        <v>112</v>
      </c>
      <c r="HB7" s="33">
        <v>48</v>
      </c>
      <c r="HD7" s="24" t="s">
        <v>112</v>
      </c>
      <c r="HE7" s="33">
        <v>48</v>
      </c>
    </row>
    <row r="8" spans="1:213" ht="14" x14ac:dyDescent="0.3">
      <c r="A8" s="25"/>
      <c r="B8" s="25"/>
      <c r="C8" s="16"/>
      <c r="D8" s="25" t="s">
        <v>109</v>
      </c>
      <c r="E8" s="25"/>
      <c r="F8" s="16"/>
      <c r="G8" s="26" t="s">
        <v>109</v>
      </c>
      <c r="H8" s="26">
        <v>500</v>
      </c>
      <c r="I8" s="16"/>
      <c r="J8" s="25" t="s">
        <v>109</v>
      </c>
      <c r="K8" s="26">
        <v>500</v>
      </c>
      <c r="L8" s="16"/>
      <c r="M8" s="25" t="s">
        <v>105</v>
      </c>
      <c r="N8" s="25">
        <v>315</v>
      </c>
      <c r="O8" s="16"/>
      <c r="P8" s="25" t="s">
        <v>105</v>
      </c>
      <c r="Q8" s="25">
        <v>300</v>
      </c>
      <c r="R8" s="16"/>
      <c r="S8" s="25" t="s">
        <v>112</v>
      </c>
      <c r="T8" s="25">
        <v>50</v>
      </c>
      <c r="U8" s="16"/>
      <c r="V8" s="25" t="s">
        <v>105</v>
      </c>
      <c r="W8" s="25">
        <v>300</v>
      </c>
      <c r="X8" s="16"/>
      <c r="Y8" s="25" t="s">
        <v>105</v>
      </c>
      <c r="Z8" s="25">
        <v>300</v>
      </c>
      <c r="AA8" s="16"/>
      <c r="AB8" s="25" t="s">
        <v>114</v>
      </c>
      <c r="AC8" s="25">
        <v>192</v>
      </c>
      <c r="AD8" s="16"/>
      <c r="AE8" s="25" t="s">
        <v>114</v>
      </c>
      <c r="AF8" s="25">
        <v>192</v>
      </c>
      <c r="AG8" s="16"/>
      <c r="AH8" s="25" t="s">
        <v>114</v>
      </c>
      <c r="AI8" s="25">
        <v>192</v>
      </c>
      <c r="AJ8" s="16"/>
      <c r="AK8" s="25" t="s">
        <v>114</v>
      </c>
      <c r="AL8" s="25">
        <v>192</v>
      </c>
      <c r="AM8" s="16"/>
      <c r="AN8" s="25" t="s">
        <v>114</v>
      </c>
      <c r="AO8" s="25">
        <v>192</v>
      </c>
      <c r="AP8" s="16"/>
      <c r="AQ8" s="25" t="s">
        <v>114</v>
      </c>
      <c r="AR8" s="25">
        <v>192</v>
      </c>
      <c r="AS8" s="32"/>
      <c r="AT8" s="25" t="s">
        <v>114</v>
      </c>
      <c r="AU8" s="25">
        <v>192</v>
      </c>
      <c r="AV8" s="16"/>
      <c r="AW8" s="16" t="s">
        <v>114</v>
      </c>
      <c r="AX8" s="16"/>
      <c r="AY8" s="16"/>
      <c r="AZ8" s="25" t="s">
        <v>115</v>
      </c>
      <c r="BA8" s="25">
        <v>133</v>
      </c>
      <c r="BB8" s="16"/>
      <c r="BC8" s="25" t="s">
        <v>116</v>
      </c>
      <c r="BD8" s="25">
        <v>153</v>
      </c>
      <c r="BE8" s="16"/>
      <c r="BF8" s="25" t="s">
        <v>116</v>
      </c>
      <c r="BG8" s="25">
        <v>153</v>
      </c>
      <c r="BH8" s="16"/>
      <c r="BI8" s="25" t="s">
        <v>116</v>
      </c>
      <c r="BJ8" s="25">
        <f>BJ23</f>
        <v>227</v>
      </c>
      <c r="BK8" s="16"/>
      <c r="BL8" s="25" t="s">
        <v>116</v>
      </c>
      <c r="BM8" s="25">
        <f>BM23</f>
        <v>177</v>
      </c>
      <c r="BN8" s="16"/>
      <c r="BO8" s="25" t="s">
        <v>117</v>
      </c>
      <c r="BP8" s="25">
        <v>458</v>
      </c>
      <c r="BQ8" s="16"/>
      <c r="BR8" s="16"/>
      <c r="BS8" s="16"/>
      <c r="BT8" s="16"/>
      <c r="BU8" s="16"/>
      <c r="BV8" s="16"/>
      <c r="BW8" s="16"/>
      <c r="BX8" s="16"/>
      <c r="BY8" s="16"/>
      <c r="BZ8" s="16"/>
      <c r="CA8" s="16"/>
      <c r="CB8" s="16"/>
      <c r="CC8" s="16"/>
      <c r="CD8" s="25" t="s">
        <v>114</v>
      </c>
      <c r="CE8" s="25"/>
      <c r="CF8" s="16"/>
      <c r="CG8" s="25"/>
      <c r="CH8" s="25"/>
      <c r="CI8" s="16"/>
      <c r="CJ8" s="25" t="s">
        <v>114</v>
      </c>
      <c r="CK8" s="25">
        <v>782</v>
      </c>
      <c r="CL8" s="16"/>
      <c r="CM8" s="25" t="s">
        <v>114</v>
      </c>
      <c r="CN8" s="25">
        <v>782</v>
      </c>
      <c r="CO8" s="16"/>
      <c r="CP8" s="25" t="s">
        <v>114</v>
      </c>
      <c r="CQ8" s="25">
        <v>782</v>
      </c>
      <c r="CR8" s="16"/>
      <c r="CS8" s="16"/>
      <c r="CT8" s="28" t="s">
        <v>112</v>
      </c>
      <c r="CU8" s="28">
        <v>59</v>
      </c>
      <c r="CV8" s="16"/>
      <c r="CW8" s="28" t="s">
        <v>114</v>
      </c>
      <c r="CX8" s="28">
        <v>782</v>
      </c>
      <c r="CY8" s="16"/>
      <c r="CZ8" s="28" t="s">
        <v>114</v>
      </c>
      <c r="DA8" s="28">
        <v>782</v>
      </c>
      <c r="DB8" s="16"/>
      <c r="DC8" s="28" t="s">
        <v>114</v>
      </c>
      <c r="DD8" s="28">
        <v>782</v>
      </c>
      <c r="DE8" s="16"/>
      <c r="DF8" s="28" t="s">
        <v>114</v>
      </c>
      <c r="DG8" s="28">
        <v>834</v>
      </c>
      <c r="DH8" s="16"/>
      <c r="DI8" s="28" t="s">
        <v>114</v>
      </c>
      <c r="DJ8" s="28">
        <v>832</v>
      </c>
      <c r="DK8" s="16"/>
      <c r="DL8" s="28" t="s">
        <v>114</v>
      </c>
      <c r="DM8" s="28">
        <v>832</v>
      </c>
      <c r="DN8" s="16"/>
      <c r="DO8" s="28" t="s">
        <v>114</v>
      </c>
      <c r="DP8" s="28">
        <v>834</v>
      </c>
      <c r="DR8" s="28" t="s">
        <v>114</v>
      </c>
      <c r="DS8" s="28">
        <v>834</v>
      </c>
      <c r="DU8" s="28" t="s">
        <v>114</v>
      </c>
      <c r="DV8" s="28">
        <v>834</v>
      </c>
      <c r="DX8" s="28" t="s">
        <v>114</v>
      </c>
      <c r="DY8" s="28">
        <v>834</v>
      </c>
      <c r="EA8" s="28" t="s">
        <v>114</v>
      </c>
      <c r="EB8" s="28">
        <v>834</v>
      </c>
      <c r="ED8" s="28" t="s">
        <v>114</v>
      </c>
      <c r="EE8" s="28">
        <v>832</v>
      </c>
      <c r="EG8" s="28" t="s">
        <v>114</v>
      </c>
      <c r="EH8" s="28">
        <v>832</v>
      </c>
      <c r="EJ8" s="28" t="s">
        <v>114</v>
      </c>
      <c r="EK8" s="28">
        <v>832</v>
      </c>
      <c r="EL8" s="34"/>
      <c r="EM8" s="30" t="s">
        <v>114</v>
      </c>
      <c r="EN8" s="28">
        <v>832</v>
      </c>
      <c r="EO8" s="21"/>
      <c r="EP8" s="30" t="s">
        <v>114</v>
      </c>
      <c r="EQ8" s="28">
        <v>832</v>
      </c>
      <c r="ER8" s="24"/>
      <c r="ES8" s="30" t="s">
        <v>114</v>
      </c>
      <c r="ET8" s="28">
        <v>736</v>
      </c>
      <c r="EV8" s="30" t="s">
        <v>114</v>
      </c>
      <c r="EW8" s="28">
        <v>736</v>
      </c>
      <c r="EY8" s="30" t="s">
        <v>114</v>
      </c>
      <c r="EZ8" s="28">
        <v>736</v>
      </c>
      <c r="FB8" s="30" t="s">
        <v>114</v>
      </c>
      <c r="FC8" s="28">
        <v>736</v>
      </c>
      <c r="FE8" s="30" t="s">
        <v>114</v>
      </c>
      <c r="FF8" s="28">
        <v>736</v>
      </c>
      <c r="FH8" s="30" t="s">
        <v>114</v>
      </c>
      <c r="FI8" s="28">
        <v>736</v>
      </c>
      <c r="FK8" s="30" t="s">
        <v>114</v>
      </c>
      <c r="FL8" s="28">
        <v>736</v>
      </c>
      <c r="FM8" s="21"/>
      <c r="FN8" s="30"/>
      <c r="FO8" s="28">
        <v>736</v>
      </c>
      <c r="FQ8" s="30" t="s">
        <v>114</v>
      </c>
      <c r="FR8" s="30">
        <v>736</v>
      </c>
      <c r="FT8" s="31" t="s">
        <v>114</v>
      </c>
      <c r="FU8" s="35">
        <v>736</v>
      </c>
      <c r="FV8" s="20"/>
      <c r="FW8" s="182" t="s">
        <v>114</v>
      </c>
      <c r="FX8" s="187">
        <v>767</v>
      </c>
      <c r="FY8" s="20"/>
      <c r="FZ8" s="182" t="s">
        <v>114</v>
      </c>
      <c r="GA8" s="182">
        <v>809</v>
      </c>
      <c r="GB8" s="24"/>
      <c r="GC8" s="182" t="s">
        <v>114</v>
      </c>
      <c r="GD8" s="182">
        <v>809</v>
      </c>
      <c r="GE8" s="24"/>
      <c r="GF8" s="182" t="s">
        <v>114</v>
      </c>
      <c r="GG8" s="182">
        <v>809</v>
      </c>
      <c r="GH8" s="24"/>
      <c r="GI8" s="24" t="s">
        <v>114</v>
      </c>
      <c r="GJ8" s="24">
        <v>809</v>
      </c>
      <c r="GK8" s="24"/>
      <c r="GL8" s="24" t="s">
        <v>114</v>
      </c>
      <c r="GM8" s="24">
        <v>809</v>
      </c>
      <c r="GN8" s="24"/>
      <c r="GO8" s="24" t="s">
        <v>114</v>
      </c>
      <c r="GP8" s="24">
        <v>809</v>
      </c>
      <c r="GQ8" s="24"/>
      <c r="GR8" s="24" t="s">
        <v>114</v>
      </c>
      <c r="GS8" s="24">
        <v>809</v>
      </c>
      <c r="GT8" s="16"/>
      <c r="GU8" s="24" t="s">
        <v>114</v>
      </c>
      <c r="GV8" s="24">
        <v>809</v>
      </c>
      <c r="GX8" s="24" t="s">
        <v>114</v>
      </c>
      <c r="GY8" s="24">
        <v>809</v>
      </c>
      <c r="HA8" s="24" t="s">
        <v>114</v>
      </c>
      <c r="HB8" s="24">
        <v>809</v>
      </c>
      <c r="HD8" s="24" t="s">
        <v>114</v>
      </c>
      <c r="HE8" s="24">
        <v>809</v>
      </c>
    </row>
    <row r="9" spans="1:213" ht="14" x14ac:dyDescent="0.3">
      <c r="A9" s="26" t="s">
        <v>105</v>
      </c>
      <c r="B9" s="26">
        <v>100</v>
      </c>
      <c r="C9" s="16"/>
      <c r="D9" s="26" t="s">
        <v>105</v>
      </c>
      <c r="E9" s="26">
        <v>100</v>
      </c>
      <c r="F9" s="16"/>
      <c r="G9" s="26" t="s">
        <v>105</v>
      </c>
      <c r="H9" s="26">
        <v>239</v>
      </c>
      <c r="I9" s="16"/>
      <c r="J9" s="26" t="s">
        <v>105</v>
      </c>
      <c r="K9" s="26">
        <v>150</v>
      </c>
      <c r="L9" s="16"/>
      <c r="M9" s="25" t="s">
        <v>112</v>
      </c>
      <c r="N9" s="25">
        <v>58</v>
      </c>
      <c r="O9" s="16"/>
      <c r="P9" s="25" t="s">
        <v>112</v>
      </c>
      <c r="Q9" s="25">
        <v>58</v>
      </c>
      <c r="R9" s="16"/>
      <c r="S9" s="25" t="s">
        <v>114</v>
      </c>
      <c r="T9" s="25">
        <v>228</v>
      </c>
      <c r="U9" s="16"/>
      <c r="V9" s="25" t="s">
        <v>112</v>
      </c>
      <c r="W9" s="25">
        <v>58</v>
      </c>
      <c r="X9" s="16"/>
      <c r="Y9" s="25" t="s">
        <v>112</v>
      </c>
      <c r="Z9" s="25">
        <v>34</v>
      </c>
      <c r="AA9" s="16"/>
      <c r="AB9" s="25" t="s">
        <v>116</v>
      </c>
      <c r="AC9" s="25">
        <f>AC23</f>
        <v>163</v>
      </c>
      <c r="AD9" s="16"/>
      <c r="AE9" s="25" t="s">
        <v>116</v>
      </c>
      <c r="AF9" s="25">
        <f>AF24</f>
        <v>242</v>
      </c>
      <c r="AG9" s="16"/>
      <c r="AH9" s="25" t="s">
        <v>116</v>
      </c>
      <c r="AI9" s="25">
        <f>AI24</f>
        <v>170</v>
      </c>
      <c r="AJ9" s="16"/>
      <c r="AK9" s="25" t="s">
        <v>116</v>
      </c>
      <c r="AL9" s="25">
        <f>AL24</f>
        <v>269</v>
      </c>
      <c r="AM9" s="16"/>
      <c r="AN9" s="25" t="s">
        <v>116</v>
      </c>
      <c r="AO9" s="25">
        <f>AO23</f>
        <v>164</v>
      </c>
      <c r="AP9" s="16"/>
      <c r="AQ9" s="25" t="s">
        <v>116</v>
      </c>
      <c r="AR9" s="25">
        <f>AR24</f>
        <v>233</v>
      </c>
      <c r="AS9" s="16"/>
      <c r="AT9" s="25" t="s">
        <v>116</v>
      </c>
      <c r="AU9" s="25">
        <v>153</v>
      </c>
      <c r="AV9" s="16"/>
      <c r="AW9" s="25" t="s">
        <v>116</v>
      </c>
      <c r="AX9" s="25">
        <f>AX24</f>
        <v>170</v>
      </c>
      <c r="AY9" s="16"/>
      <c r="AZ9" s="25" t="s">
        <v>116</v>
      </c>
      <c r="BA9" s="25">
        <f>BA23</f>
        <v>179</v>
      </c>
      <c r="BB9" s="16"/>
      <c r="BC9" s="16"/>
      <c r="BD9" s="16"/>
      <c r="BE9" s="16"/>
      <c r="BF9" s="25" t="s">
        <v>99</v>
      </c>
      <c r="BG9" s="25">
        <v>313</v>
      </c>
      <c r="BH9" s="16"/>
      <c r="BI9" s="25" t="s">
        <v>99</v>
      </c>
      <c r="BJ9" s="25">
        <v>314</v>
      </c>
      <c r="BK9" s="16"/>
      <c r="BL9" s="25" t="s">
        <v>99</v>
      </c>
      <c r="BM9" s="25">
        <v>313</v>
      </c>
      <c r="BN9" s="16"/>
      <c r="BO9" s="25" t="s">
        <v>116</v>
      </c>
      <c r="BP9" s="25">
        <f>BP23</f>
        <v>222</v>
      </c>
      <c r="BQ9" s="16"/>
      <c r="BR9" s="25" t="s">
        <v>116</v>
      </c>
      <c r="BS9" s="25">
        <f>BS23</f>
        <v>171</v>
      </c>
      <c r="BT9" s="16"/>
      <c r="BU9" s="25" t="s">
        <v>116</v>
      </c>
      <c r="BV9" s="25">
        <f>BV23</f>
        <v>109</v>
      </c>
      <c r="BW9" s="16"/>
      <c r="BX9" s="25" t="s">
        <v>116</v>
      </c>
      <c r="BY9" s="25">
        <f>BY23</f>
        <v>71</v>
      </c>
      <c r="BZ9" s="16"/>
      <c r="CA9" s="25" t="s">
        <v>116</v>
      </c>
      <c r="CB9" s="25">
        <f>CB23</f>
        <v>108</v>
      </c>
      <c r="CC9" s="16"/>
      <c r="CD9" s="25" t="s">
        <v>116</v>
      </c>
      <c r="CE9" s="25">
        <f>CE23</f>
        <v>59</v>
      </c>
      <c r="CF9" s="16"/>
      <c r="CG9" s="25" t="s">
        <v>116</v>
      </c>
      <c r="CH9" s="25">
        <f>CH23</f>
        <v>122</v>
      </c>
      <c r="CI9" s="16"/>
      <c r="CJ9" s="25" t="s">
        <v>116</v>
      </c>
      <c r="CK9" s="25">
        <f>CK23</f>
        <v>58</v>
      </c>
      <c r="CL9" s="16"/>
      <c r="CM9" s="25" t="s">
        <v>116</v>
      </c>
      <c r="CN9" s="25">
        <f>CN23</f>
        <v>123</v>
      </c>
      <c r="CO9" s="16"/>
      <c r="CP9" s="25" t="s">
        <v>116</v>
      </c>
      <c r="CQ9" s="25">
        <f>CQ23</f>
        <v>70</v>
      </c>
      <c r="CR9" s="16"/>
      <c r="CS9" s="16"/>
      <c r="CT9" s="28" t="s">
        <v>114</v>
      </c>
      <c r="CU9" s="28">
        <v>782</v>
      </c>
      <c r="CV9" s="16"/>
      <c r="CW9" s="28" t="s">
        <v>118</v>
      </c>
      <c r="CX9" s="28">
        <v>50</v>
      </c>
      <c r="CY9" s="16"/>
      <c r="CZ9" s="28" t="s">
        <v>119</v>
      </c>
      <c r="DA9" s="28">
        <v>50</v>
      </c>
      <c r="DB9" s="16"/>
      <c r="DC9" s="28" t="s">
        <v>120</v>
      </c>
      <c r="DD9" s="28">
        <v>36</v>
      </c>
      <c r="DE9" s="16"/>
      <c r="DF9" s="28" t="s">
        <v>121</v>
      </c>
      <c r="DG9" s="28">
        <v>50</v>
      </c>
      <c r="DH9" s="24"/>
      <c r="DI9" s="28" t="s">
        <v>121</v>
      </c>
      <c r="DJ9" s="28">
        <v>462</v>
      </c>
      <c r="DL9" s="16"/>
      <c r="DM9" s="16"/>
      <c r="DN9" s="16"/>
      <c r="DO9" s="28" t="s">
        <v>121</v>
      </c>
      <c r="DP9" s="28"/>
      <c r="DR9" s="28" t="s">
        <v>121</v>
      </c>
      <c r="DS9" s="28">
        <v>648</v>
      </c>
      <c r="DT9" s="1"/>
      <c r="DU9" s="28" t="s">
        <v>116</v>
      </c>
      <c r="DV9" s="28">
        <v>23</v>
      </c>
      <c r="DX9" s="28" t="s">
        <v>122</v>
      </c>
      <c r="DY9" s="28">
        <v>100</v>
      </c>
      <c r="EA9" s="28" t="s">
        <v>123</v>
      </c>
      <c r="EB9" s="28">
        <f>100+35+80</f>
        <v>215</v>
      </c>
      <c r="ED9" s="28" t="s">
        <v>124</v>
      </c>
      <c r="EE9" s="28">
        <f>174+10+5</f>
        <v>189</v>
      </c>
      <c r="EG9" s="16"/>
      <c r="EH9" s="16"/>
      <c r="EJ9" s="28" t="s">
        <v>125</v>
      </c>
      <c r="EK9" s="28">
        <f>EK49</f>
        <v>1450</v>
      </c>
      <c r="EL9" s="34"/>
      <c r="EM9" s="184" t="s">
        <v>126</v>
      </c>
      <c r="EN9" s="184">
        <f>200-14</f>
        <v>186</v>
      </c>
      <c r="EO9" s="21"/>
      <c r="EP9" s="30" t="s">
        <v>127</v>
      </c>
      <c r="EQ9" s="30">
        <v>926</v>
      </c>
      <c r="ER9" s="24"/>
      <c r="ES9" s="24"/>
      <c r="ET9" s="24"/>
      <c r="EV9" s="24"/>
      <c r="EW9" s="24"/>
      <c r="EY9" s="28" t="s">
        <v>93</v>
      </c>
      <c r="EZ9" s="28">
        <v>22</v>
      </c>
      <c r="FB9" s="30" t="s">
        <v>128</v>
      </c>
      <c r="FC9" s="30">
        <f>290+650+138+21</f>
        <v>1099</v>
      </c>
      <c r="FD9" s="37"/>
      <c r="FE9" s="28" t="s">
        <v>129</v>
      </c>
      <c r="FF9" s="38">
        <v>556</v>
      </c>
      <c r="FH9" s="30" t="s">
        <v>130</v>
      </c>
      <c r="FI9" s="30">
        <f>44+42</f>
        <v>86</v>
      </c>
      <c r="FJ9" s="37"/>
      <c r="FK9" s="30" t="s">
        <v>131</v>
      </c>
      <c r="FL9" s="30">
        <f>25+84-40</f>
        <v>69</v>
      </c>
      <c r="FN9" s="30" t="s">
        <v>132</v>
      </c>
      <c r="FO9" s="30">
        <v>65</v>
      </c>
      <c r="FQ9" s="35" t="s">
        <v>822</v>
      </c>
      <c r="FR9" s="35">
        <f>19+81+37+89</f>
        <v>226</v>
      </c>
      <c r="FT9" s="31" t="s">
        <v>133</v>
      </c>
      <c r="FU9" s="35">
        <f>FU54</f>
        <v>658</v>
      </c>
      <c r="FV9" s="22"/>
      <c r="FW9" s="182" t="s">
        <v>843</v>
      </c>
      <c r="FX9" s="182">
        <f>636/2</f>
        <v>318</v>
      </c>
      <c r="FY9" s="24"/>
      <c r="FZ9" s="182" t="s">
        <v>822</v>
      </c>
      <c r="GA9" s="182">
        <f>84+22+22+89</f>
        <v>217</v>
      </c>
      <c r="GB9" s="24"/>
      <c r="GC9" s="182" t="s">
        <v>822</v>
      </c>
      <c r="GD9" s="182">
        <f>80+22+89</f>
        <v>191</v>
      </c>
      <c r="GE9" s="24"/>
      <c r="GF9" s="182" t="s">
        <v>926</v>
      </c>
      <c r="GG9" s="182">
        <f>90+27+25+89</f>
        <v>231</v>
      </c>
      <c r="GH9" s="24"/>
      <c r="GI9" s="24" t="s">
        <v>822</v>
      </c>
      <c r="GJ9" s="24">
        <v>0</v>
      </c>
      <c r="GK9" s="24"/>
      <c r="GL9" s="24" t="s">
        <v>822</v>
      </c>
      <c r="GM9" s="24">
        <v>0</v>
      </c>
      <c r="GN9" s="24"/>
      <c r="GO9" s="24" t="s">
        <v>822</v>
      </c>
      <c r="GP9" s="24">
        <v>0</v>
      </c>
      <c r="GQ9" s="24"/>
      <c r="GR9" s="24" t="s">
        <v>822</v>
      </c>
      <c r="GS9" s="24">
        <v>0</v>
      </c>
      <c r="GT9" s="24"/>
      <c r="GU9" s="24" t="s">
        <v>822</v>
      </c>
      <c r="GV9" s="24">
        <v>0</v>
      </c>
      <c r="GX9" s="24" t="s">
        <v>822</v>
      </c>
      <c r="GY9" s="24">
        <v>0</v>
      </c>
      <c r="HA9" s="24" t="s">
        <v>822</v>
      </c>
      <c r="HB9" s="24">
        <v>0</v>
      </c>
      <c r="HD9" s="24" t="s">
        <v>822</v>
      </c>
      <c r="HE9" s="24">
        <v>0</v>
      </c>
    </row>
    <row r="10" spans="1:213" ht="14" x14ac:dyDescent="0.3">
      <c r="A10" s="39" t="s">
        <v>112</v>
      </c>
      <c r="B10" s="39">
        <v>70</v>
      </c>
      <c r="C10" s="16"/>
      <c r="D10" s="25" t="s">
        <v>112</v>
      </c>
      <c r="E10" s="25">
        <v>70</v>
      </c>
      <c r="F10" s="16"/>
      <c r="G10" s="26" t="s">
        <v>112</v>
      </c>
      <c r="H10" s="26">
        <v>70</v>
      </c>
      <c r="I10" s="16"/>
      <c r="J10" s="26" t="s">
        <v>112</v>
      </c>
      <c r="K10" s="26">
        <v>58</v>
      </c>
      <c r="L10" s="16"/>
      <c r="M10" s="25" t="s">
        <v>114</v>
      </c>
      <c r="N10" s="25">
        <v>228</v>
      </c>
      <c r="O10" s="16"/>
      <c r="P10" s="25" t="s">
        <v>114</v>
      </c>
      <c r="Q10" s="25">
        <v>228</v>
      </c>
      <c r="R10" s="16"/>
      <c r="S10" s="25" t="s">
        <v>134</v>
      </c>
      <c r="T10" s="25">
        <v>157</v>
      </c>
      <c r="U10" s="16"/>
      <c r="V10" s="25" t="s">
        <v>114</v>
      </c>
      <c r="W10" s="25">
        <v>294</v>
      </c>
      <c r="X10" s="16"/>
      <c r="Y10" s="25" t="s">
        <v>114</v>
      </c>
      <c r="Z10" s="25">
        <v>213</v>
      </c>
      <c r="AA10" s="16"/>
      <c r="AB10" s="25"/>
      <c r="AC10" s="25"/>
      <c r="AD10" s="40"/>
      <c r="AE10" s="25" t="s">
        <v>135</v>
      </c>
      <c r="AF10" s="25">
        <v>185</v>
      </c>
      <c r="AG10" s="16"/>
      <c r="AH10" s="25" t="s">
        <v>136</v>
      </c>
      <c r="AI10" s="25">
        <v>130</v>
      </c>
      <c r="AJ10" s="16"/>
      <c r="AK10" s="25" t="s">
        <v>137</v>
      </c>
      <c r="AL10" s="25">
        <v>136</v>
      </c>
      <c r="AM10" s="16"/>
      <c r="AN10" s="25" t="s">
        <v>138</v>
      </c>
      <c r="AO10" s="25">
        <v>339</v>
      </c>
      <c r="AP10" s="16"/>
      <c r="AQ10" s="25" t="s">
        <v>139</v>
      </c>
      <c r="AR10" s="25">
        <v>35</v>
      </c>
      <c r="AS10" s="16"/>
      <c r="AT10" s="25" t="s">
        <v>109</v>
      </c>
      <c r="AU10" s="25">
        <v>342</v>
      </c>
      <c r="AV10" s="16"/>
      <c r="AW10" s="25" t="s">
        <v>140</v>
      </c>
      <c r="AX10" s="25">
        <f>453+65</f>
        <v>518</v>
      </c>
      <c r="AY10" s="16"/>
      <c r="AZ10" s="25" t="s">
        <v>141</v>
      </c>
      <c r="BA10" s="25">
        <f>304+425</f>
        <v>729</v>
      </c>
      <c r="BB10" s="16"/>
      <c r="BC10" s="25" t="s">
        <v>140</v>
      </c>
      <c r="BD10" s="25">
        <v>522</v>
      </c>
      <c r="BE10" s="16"/>
      <c r="BF10" s="16"/>
      <c r="BG10" s="16"/>
      <c r="BH10" s="16"/>
      <c r="BI10" s="25" t="s">
        <v>139</v>
      </c>
      <c r="BJ10" s="25">
        <v>10</v>
      </c>
      <c r="BK10" s="16"/>
      <c r="BL10" s="16"/>
      <c r="BM10" s="16"/>
      <c r="BN10" s="16"/>
      <c r="BO10" s="25" t="s">
        <v>99</v>
      </c>
      <c r="BP10" s="25">
        <v>348</v>
      </c>
      <c r="BQ10" s="16"/>
      <c r="BR10" s="25" t="s">
        <v>99</v>
      </c>
      <c r="BS10" s="25">
        <v>348</v>
      </c>
      <c r="BT10" s="16"/>
      <c r="BU10" s="25" t="s">
        <v>99</v>
      </c>
      <c r="BV10" s="25">
        <v>348</v>
      </c>
      <c r="BW10" s="16"/>
      <c r="BX10" s="25" t="s">
        <v>99</v>
      </c>
      <c r="BY10" s="25">
        <v>348</v>
      </c>
      <c r="BZ10" s="16"/>
      <c r="CA10" s="25" t="s">
        <v>99</v>
      </c>
      <c r="CB10" s="25">
        <v>348</v>
      </c>
      <c r="CC10" s="16"/>
      <c r="CD10" s="25" t="s">
        <v>99</v>
      </c>
      <c r="CE10" s="25">
        <v>348</v>
      </c>
      <c r="CF10" s="16"/>
      <c r="CG10" s="25" t="s">
        <v>99</v>
      </c>
      <c r="CH10" s="25">
        <v>348</v>
      </c>
      <c r="CI10" s="16"/>
      <c r="CJ10" s="25" t="s">
        <v>99</v>
      </c>
      <c r="CK10" s="25">
        <v>348</v>
      </c>
      <c r="CL10" s="16"/>
      <c r="CM10" s="25" t="s">
        <v>99</v>
      </c>
      <c r="CN10" s="25">
        <v>348</v>
      </c>
      <c r="CO10" s="16"/>
      <c r="CP10" s="16" t="s">
        <v>99</v>
      </c>
      <c r="CQ10" s="16"/>
      <c r="CR10" s="16"/>
      <c r="CS10" s="16"/>
      <c r="CT10" s="16" t="s">
        <v>122</v>
      </c>
      <c r="CU10" s="16">
        <v>0</v>
      </c>
      <c r="CV10" s="16"/>
      <c r="CW10" s="28" t="s">
        <v>142</v>
      </c>
      <c r="CX10" s="28">
        <v>25</v>
      </c>
      <c r="CY10" s="16"/>
      <c r="CZ10" s="28" t="s">
        <v>138</v>
      </c>
      <c r="DA10" s="28"/>
      <c r="DB10" s="16"/>
      <c r="DC10" s="28" t="s">
        <v>143</v>
      </c>
      <c r="DD10" s="28">
        <v>58</v>
      </c>
      <c r="DE10" s="16"/>
      <c r="DF10" s="28" t="s">
        <v>120</v>
      </c>
      <c r="DG10" s="28">
        <v>57</v>
      </c>
      <c r="DH10" s="16"/>
      <c r="DI10" s="28" t="s">
        <v>120</v>
      </c>
      <c r="DJ10" s="28">
        <v>57</v>
      </c>
      <c r="DK10" s="16"/>
      <c r="DL10" s="28" t="s">
        <v>120</v>
      </c>
      <c r="DM10" s="28">
        <v>37</v>
      </c>
      <c r="DN10" s="16"/>
      <c r="DO10" s="28" t="s">
        <v>120</v>
      </c>
      <c r="DP10" s="28"/>
      <c r="DR10" s="28" t="s">
        <v>116</v>
      </c>
      <c r="DS10" s="28">
        <v>57</v>
      </c>
      <c r="DT10" s="1"/>
      <c r="DU10" s="28" t="s">
        <v>120</v>
      </c>
      <c r="DV10" s="28">
        <v>30</v>
      </c>
      <c r="DX10" s="28" t="s">
        <v>144</v>
      </c>
      <c r="DY10" s="28">
        <v>60</v>
      </c>
      <c r="EA10" s="28"/>
      <c r="EB10" s="28"/>
      <c r="ED10" s="28" t="s">
        <v>120</v>
      </c>
      <c r="EE10" s="28">
        <f>36+8</f>
        <v>44</v>
      </c>
      <c r="EG10" s="28" t="s">
        <v>145</v>
      </c>
      <c r="EH10" s="28">
        <v>100</v>
      </c>
      <c r="EJ10" s="28" t="s">
        <v>144</v>
      </c>
      <c r="EK10" s="28">
        <v>80</v>
      </c>
      <c r="EL10" s="34"/>
      <c r="EM10" s="30" t="s">
        <v>120</v>
      </c>
      <c r="EN10" s="30">
        <v>114</v>
      </c>
      <c r="EO10" s="21"/>
      <c r="EP10" s="30" t="s">
        <v>146</v>
      </c>
      <c r="EQ10" s="30">
        <v>208</v>
      </c>
      <c r="ER10" s="24"/>
      <c r="ES10" s="30" t="s">
        <v>146</v>
      </c>
      <c r="ET10" s="30">
        <f>116+42+82+90</f>
        <v>330</v>
      </c>
      <c r="EV10" s="30" t="s">
        <v>147</v>
      </c>
      <c r="EW10" s="30">
        <f>80+50</f>
        <v>130</v>
      </c>
      <c r="EY10" s="30" t="s">
        <v>147</v>
      </c>
      <c r="EZ10" s="28">
        <v>60</v>
      </c>
      <c r="FA10" s="21"/>
      <c r="FB10" s="30" t="s">
        <v>148</v>
      </c>
      <c r="FC10" s="30">
        <v>100</v>
      </c>
      <c r="FD10" s="37"/>
      <c r="FE10" s="30" t="s">
        <v>149</v>
      </c>
      <c r="FF10" s="30">
        <f>116-30-46+45+27</f>
        <v>112</v>
      </c>
      <c r="FG10" s="21"/>
      <c r="FH10" s="30" t="s">
        <v>100</v>
      </c>
      <c r="FI10" s="30">
        <v>22</v>
      </c>
      <c r="FK10" s="30" t="s">
        <v>150</v>
      </c>
      <c r="FL10" s="30">
        <f>80+16</f>
        <v>96</v>
      </c>
      <c r="FN10" s="41" t="s">
        <v>151</v>
      </c>
      <c r="FO10" s="30">
        <f>80+16+89</f>
        <v>185</v>
      </c>
      <c r="FQ10" s="35"/>
      <c r="FR10" s="30"/>
      <c r="FT10" s="31" t="s">
        <v>819</v>
      </c>
      <c r="FU10" s="35">
        <f>9170+25+5+200+1052+383+5+100+30</f>
        <v>10970</v>
      </c>
      <c r="FV10" s="22"/>
      <c r="FW10" s="182" t="s">
        <v>822</v>
      </c>
      <c r="FX10" s="182">
        <f>81+19+43+89</f>
        <v>232</v>
      </c>
      <c r="FY10" s="20"/>
      <c r="FZ10" s="182" t="s">
        <v>849</v>
      </c>
      <c r="GA10" s="182">
        <v>0</v>
      </c>
      <c r="GB10" s="24"/>
      <c r="GC10" s="182" t="s">
        <v>849</v>
      </c>
      <c r="GD10" s="182">
        <v>0</v>
      </c>
      <c r="GE10" s="24"/>
      <c r="GF10" s="182" t="s">
        <v>849</v>
      </c>
      <c r="GG10" s="182">
        <v>0</v>
      </c>
      <c r="GH10" s="24"/>
      <c r="GI10" s="24" t="s">
        <v>849</v>
      </c>
      <c r="GJ10" s="24">
        <f>217+90</f>
        <v>307</v>
      </c>
      <c r="GK10" s="24"/>
      <c r="GL10" s="24" t="s">
        <v>849</v>
      </c>
      <c r="GM10" s="24">
        <v>217</v>
      </c>
      <c r="GN10" s="24"/>
      <c r="GO10" s="24" t="s">
        <v>849</v>
      </c>
      <c r="GP10" s="24">
        <v>217</v>
      </c>
      <c r="GQ10" s="24"/>
      <c r="GR10" s="24" t="s">
        <v>849</v>
      </c>
      <c r="GS10" s="24">
        <v>217</v>
      </c>
      <c r="GT10" s="24"/>
      <c r="GU10" s="24" t="s">
        <v>849</v>
      </c>
      <c r="GV10" s="24">
        <v>217</v>
      </c>
      <c r="GX10" s="24" t="s">
        <v>849</v>
      </c>
      <c r="GY10" s="24">
        <v>217</v>
      </c>
      <c r="HA10" s="24" t="s">
        <v>849</v>
      </c>
      <c r="HB10" s="24">
        <v>217</v>
      </c>
      <c r="HD10" s="24" t="s">
        <v>849</v>
      </c>
      <c r="HE10" s="24">
        <v>217</v>
      </c>
    </row>
    <row r="11" spans="1:213" ht="14" x14ac:dyDescent="0.3">
      <c r="A11" s="26" t="s">
        <v>114</v>
      </c>
      <c r="B11" s="26">
        <v>209</v>
      </c>
      <c r="C11" s="16"/>
      <c r="D11" s="26" t="s">
        <v>114</v>
      </c>
      <c r="E11" s="26">
        <v>215</v>
      </c>
      <c r="F11" s="16"/>
      <c r="G11" s="26" t="s">
        <v>114</v>
      </c>
      <c r="H11" s="26">
        <v>287</v>
      </c>
      <c r="I11" s="16"/>
      <c r="J11" s="26" t="s">
        <v>114</v>
      </c>
      <c r="K11" s="26">
        <v>254</v>
      </c>
      <c r="L11" s="16"/>
      <c r="M11" s="25" t="s">
        <v>134</v>
      </c>
      <c r="N11" s="25">
        <v>127</v>
      </c>
      <c r="O11" s="16"/>
      <c r="P11" s="25" t="s">
        <v>134</v>
      </c>
      <c r="Q11" s="25">
        <v>13</v>
      </c>
      <c r="R11" s="16"/>
      <c r="S11" s="25" t="s">
        <v>116</v>
      </c>
      <c r="T11" s="25">
        <f>T25</f>
        <v>119</v>
      </c>
      <c r="U11" s="16"/>
      <c r="V11" s="25" t="s">
        <v>134</v>
      </c>
      <c r="W11" s="25">
        <v>89</v>
      </c>
      <c r="X11" s="16"/>
      <c r="Y11" s="25" t="s">
        <v>116</v>
      </c>
      <c r="Z11" s="25">
        <f>Z24</f>
        <v>215</v>
      </c>
      <c r="AA11" s="16"/>
      <c r="AB11" s="25" t="s">
        <v>111</v>
      </c>
      <c r="AC11" s="25">
        <f>AC33</f>
        <v>739</v>
      </c>
      <c r="AD11" s="40"/>
      <c r="AE11" s="25" t="s">
        <v>94</v>
      </c>
      <c r="AF11" s="25">
        <f>AF45</f>
        <v>278</v>
      </c>
      <c r="AG11" s="16"/>
      <c r="AH11" s="25" t="s">
        <v>135</v>
      </c>
      <c r="AI11" s="25">
        <f>AI49</f>
        <v>563</v>
      </c>
      <c r="AJ11" s="16"/>
      <c r="AK11" s="25" t="s">
        <v>152</v>
      </c>
      <c r="AL11" s="25">
        <v>68</v>
      </c>
      <c r="AM11" s="16"/>
      <c r="AN11" s="25" t="s">
        <v>111</v>
      </c>
      <c r="AO11" s="25">
        <f>AO30</f>
        <v>97</v>
      </c>
      <c r="AP11" s="16"/>
      <c r="AQ11" s="25" t="s">
        <v>111</v>
      </c>
      <c r="AR11" s="25">
        <f>AR35</f>
        <v>509</v>
      </c>
      <c r="AS11" s="16"/>
      <c r="AT11" s="25" t="s">
        <v>139</v>
      </c>
      <c r="AU11" s="25">
        <v>40</v>
      </c>
      <c r="AV11" s="16"/>
      <c r="AW11" s="25" t="s">
        <v>139</v>
      </c>
      <c r="AX11" s="25">
        <v>15</v>
      </c>
      <c r="AY11" s="16"/>
      <c r="AZ11" s="25" t="s">
        <v>153</v>
      </c>
      <c r="BA11" s="25">
        <v>429</v>
      </c>
      <c r="BB11" s="16"/>
      <c r="BC11" s="25" t="s">
        <v>111</v>
      </c>
      <c r="BD11" s="25">
        <f>BD36</f>
        <v>1350</v>
      </c>
      <c r="BE11" s="16"/>
      <c r="BF11" s="25" t="s">
        <v>154</v>
      </c>
      <c r="BG11" s="25">
        <v>360</v>
      </c>
      <c r="BH11" s="16"/>
      <c r="BI11" s="25" t="s">
        <v>98</v>
      </c>
      <c r="BJ11" s="25">
        <v>163</v>
      </c>
      <c r="BK11" s="16"/>
      <c r="BL11" s="25" t="s">
        <v>134</v>
      </c>
      <c r="BM11" s="25">
        <v>294</v>
      </c>
      <c r="BN11" s="16"/>
      <c r="BO11" s="25" t="s">
        <v>134</v>
      </c>
      <c r="BP11" s="25">
        <v>19</v>
      </c>
      <c r="BQ11" s="16"/>
      <c r="BR11" s="25" t="s">
        <v>155</v>
      </c>
      <c r="BS11" s="25">
        <v>395</v>
      </c>
      <c r="BT11" s="16"/>
      <c r="BU11" s="25" t="s">
        <v>156</v>
      </c>
      <c r="BV11" s="25">
        <v>4000</v>
      </c>
      <c r="BW11" s="16"/>
      <c r="BX11" s="25" t="s">
        <v>157</v>
      </c>
      <c r="BY11" s="25">
        <v>1546</v>
      </c>
      <c r="BZ11" s="16"/>
      <c r="CA11" s="25" t="s">
        <v>157</v>
      </c>
      <c r="CB11" s="25">
        <v>1546</v>
      </c>
      <c r="CC11" s="16"/>
      <c r="CD11" s="25" t="s">
        <v>157</v>
      </c>
      <c r="CE11" s="25">
        <v>1546</v>
      </c>
      <c r="CF11" s="16"/>
      <c r="CG11" s="25"/>
      <c r="CH11" s="25"/>
      <c r="CI11" s="16"/>
      <c r="CJ11" s="16"/>
      <c r="CK11" s="16"/>
      <c r="CL11" s="16"/>
      <c r="CM11" s="16"/>
      <c r="CN11" s="16"/>
      <c r="CO11" s="16"/>
      <c r="CP11" s="25" t="s">
        <v>157</v>
      </c>
      <c r="CQ11" s="25">
        <v>809</v>
      </c>
      <c r="CR11" s="16"/>
      <c r="CS11" s="16"/>
      <c r="CT11" s="28" t="s">
        <v>158</v>
      </c>
      <c r="CU11" s="28">
        <v>370</v>
      </c>
      <c r="CV11" s="16"/>
      <c r="CW11" s="28" t="s">
        <v>111</v>
      </c>
      <c r="CX11" s="28">
        <f>CX34</f>
        <v>1505</v>
      </c>
      <c r="CY11" s="16"/>
      <c r="CZ11" s="28" t="s">
        <v>111</v>
      </c>
      <c r="DA11" s="28">
        <f>DA34</f>
        <v>530</v>
      </c>
      <c r="DB11" s="16"/>
      <c r="DC11" s="28" t="s">
        <v>138</v>
      </c>
      <c r="DD11" s="28">
        <v>480</v>
      </c>
      <c r="DE11" s="16"/>
      <c r="DF11" s="28" t="s">
        <v>159</v>
      </c>
      <c r="DG11" s="28">
        <v>30</v>
      </c>
      <c r="DH11" s="16"/>
      <c r="DI11" s="28" t="s">
        <v>109</v>
      </c>
      <c r="DJ11" s="28">
        <f>54+63+73+55+20+30+20+54+37</f>
        <v>406</v>
      </c>
      <c r="DK11" s="16"/>
      <c r="DL11" s="28" t="s">
        <v>100</v>
      </c>
      <c r="DM11" s="28">
        <v>18</v>
      </c>
      <c r="DN11" s="16"/>
      <c r="DO11" s="28" t="s">
        <v>100</v>
      </c>
      <c r="DP11" s="28">
        <v>24</v>
      </c>
      <c r="DR11" s="28" t="s">
        <v>100</v>
      </c>
      <c r="DS11" s="28">
        <v>24</v>
      </c>
      <c r="DT11" s="1"/>
      <c r="DU11" s="28" t="s">
        <v>100</v>
      </c>
      <c r="DV11" s="28">
        <v>24</v>
      </c>
      <c r="DW11" s="1"/>
      <c r="DX11" s="28" t="s">
        <v>100</v>
      </c>
      <c r="DY11" s="28">
        <v>24</v>
      </c>
      <c r="EA11" s="28" t="s">
        <v>100</v>
      </c>
      <c r="EB11" s="28">
        <v>16</v>
      </c>
      <c r="ED11" s="28" t="s">
        <v>160</v>
      </c>
      <c r="EE11" s="28">
        <v>21</v>
      </c>
      <c r="EG11" s="28" t="s">
        <v>161</v>
      </c>
      <c r="EH11" s="28">
        <v>0</v>
      </c>
      <c r="EJ11" s="28" t="s">
        <v>162</v>
      </c>
      <c r="EK11" s="28">
        <v>21</v>
      </c>
      <c r="EL11" s="15"/>
      <c r="EM11" s="30" t="s">
        <v>163</v>
      </c>
      <c r="EN11" s="30">
        <v>11</v>
      </c>
      <c r="EO11" s="21"/>
      <c r="EP11" s="30" t="s">
        <v>164</v>
      </c>
      <c r="EQ11" s="30">
        <v>11</v>
      </c>
      <c r="ER11" s="24"/>
      <c r="ES11" s="30" t="s">
        <v>165</v>
      </c>
      <c r="ET11" s="30">
        <v>11</v>
      </c>
      <c r="EV11" s="30" t="s">
        <v>166</v>
      </c>
      <c r="EW11" s="30">
        <v>11</v>
      </c>
      <c r="EY11" s="30" t="s">
        <v>120</v>
      </c>
      <c r="EZ11" s="28">
        <f>116-55</f>
        <v>61</v>
      </c>
      <c r="FA11" s="21"/>
      <c r="FB11" s="30" t="s">
        <v>100</v>
      </c>
      <c r="FC11" s="30">
        <v>22</v>
      </c>
      <c r="FE11" s="30" t="s">
        <v>165</v>
      </c>
      <c r="FF11" s="30">
        <v>22</v>
      </c>
      <c r="FG11" s="1"/>
      <c r="FH11" s="30" t="s">
        <v>111</v>
      </c>
      <c r="FI11" s="30">
        <f>FI38</f>
        <v>1741</v>
      </c>
      <c r="FJ11" s="21"/>
      <c r="FK11" s="30" t="s">
        <v>100</v>
      </c>
      <c r="FL11" s="30">
        <v>22</v>
      </c>
      <c r="FN11" s="28" t="s">
        <v>167</v>
      </c>
      <c r="FO11" s="42">
        <v>869</v>
      </c>
      <c r="FQ11" s="30" t="s">
        <v>100</v>
      </c>
      <c r="FR11" s="30">
        <v>22</v>
      </c>
      <c r="FT11" s="35" t="s">
        <v>168</v>
      </c>
      <c r="FU11" s="35">
        <f>100+90</f>
        <v>190</v>
      </c>
      <c r="FV11" s="22"/>
      <c r="FW11" s="182" t="s">
        <v>100</v>
      </c>
      <c r="FX11" s="182">
        <v>22</v>
      </c>
      <c r="FY11" s="186"/>
      <c r="FZ11" s="182" t="s">
        <v>100</v>
      </c>
      <c r="GA11" s="182">
        <f>GA57</f>
        <v>38</v>
      </c>
      <c r="GB11" s="24"/>
      <c r="GC11" s="210" t="s">
        <v>891</v>
      </c>
      <c r="GD11" s="182">
        <v>200</v>
      </c>
      <c r="GE11" s="24"/>
      <c r="GF11" s="182" t="s">
        <v>842</v>
      </c>
      <c r="GG11" s="182">
        <v>7</v>
      </c>
      <c r="GH11" s="24"/>
      <c r="GI11" s="24" t="s">
        <v>100</v>
      </c>
      <c r="GJ11" s="24">
        <v>22</v>
      </c>
      <c r="GK11" s="24"/>
      <c r="GL11" s="24" t="s">
        <v>100</v>
      </c>
      <c r="GM11" s="24">
        <v>22</v>
      </c>
      <c r="GO11" s="24" t="s">
        <v>100</v>
      </c>
      <c r="GP11" s="24">
        <v>11</v>
      </c>
      <c r="GQ11" s="24"/>
      <c r="GR11" s="24" t="s">
        <v>100</v>
      </c>
      <c r="GS11" s="24">
        <v>11</v>
      </c>
      <c r="GT11" s="24"/>
      <c r="GU11" s="24" t="s">
        <v>100</v>
      </c>
      <c r="GV11" s="24">
        <v>11</v>
      </c>
      <c r="GX11" s="24" t="s">
        <v>100</v>
      </c>
      <c r="GY11" s="24">
        <v>11</v>
      </c>
      <c r="HA11" s="24" t="s">
        <v>100</v>
      </c>
      <c r="HB11" s="24">
        <v>11</v>
      </c>
      <c r="HD11" s="24" t="s">
        <v>100</v>
      </c>
      <c r="HE11" s="24">
        <v>11</v>
      </c>
    </row>
    <row r="12" spans="1:213" ht="14" x14ac:dyDescent="0.3">
      <c r="A12" s="43" t="s">
        <v>134</v>
      </c>
      <c r="B12" s="43">
        <v>0</v>
      </c>
      <c r="C12" s="16"/>
      <c r="D12" s="26" t="s">
        <v>134</v>
      </c>
      <c r="E12" s="26">
        <v>285</v>
      </c>
      <c r="F12" s="16"/>
      <c r="G12" s="26" t="s">
        <v>134</v>
      </c>
      <c r="H12" s="26">
        <v>543</v>
      </c>
      <c r="I12" s="16"/>
      <c r="J12" s="26" t="s">
        <v>169</v>
      </c>
      <c r="K12" s="26">
        <v>170</v>
      </c>
      <c r="L12" s="16"/>
      <c r="M12" s="25" t="s">
        <v>170</v>
      </c>
      <c r="N12" s="25">
        <f>55+76+13</f>
        <v>144</v>
      </c>
      <c r="O12" s="16"/>
      <c r="P12" s="25" t="s">
        <v>170</v>
      </c>
      <c r="Q12" s="25">
        <v>133</v>
      </c>
      <c r="R12" s="16"/>
      <c r="S12" s="25" t="s">
        <v>171</v>
      </c>
      <c r="T12" s="25">
        <v>30</v>
      </c>
      <c r="U12" s="16"/>
      <c r="V12" s="25" t="s">
        <v>116</v>
      </c>
      <c r="W12" s="25">
        <f>W23</f>
        <v>144</v>
      </c>
      <c r="X12" s="27"/>
      <c r="Y12" s="25" t="s">
        <v>111</v>
      </c>
      <c r="Z12" s="25">
        <f>Z33</f>
        <v>328</v>
      </c>
      <c r="AA12" s="16"/>
      <c r="AB12" s="25" t="s">
        <v>172</v>
      </c>
      <c r="AC12" s="25">
        <v>169</v>
      </c>
      <c r="AD12" s="40"/>
      <c r="AE12" s="25" t="s">
        <v>111</v>
      </c>
      <c r="AF12" s="25">
        <f>AF33</f>
        <v>384</v>
      </c>
      <c r="AG12" s="16"/>
      <c r="AH12" s="25" t="s">
        <v>133</v>
      </c>
      <c r="AI12" s="25">
        <f>AI45</f>
        <v>1327</v>
      </c>
      <c r="AJ12" s="16"/>
      <c r="AK12" s="25" t="s">
        <v>111</v>
      </c>
      <c r="AL12" s="36">
        <f>AL35</f>
        <v>644</v>
      </c>
      <c r="AM12" s="16"/>
      <c r="AN12" s="16"/>
      <c r="AO12" s="16"/>
      <c r="AP12" s="16"/>
      <c r="AQ12" s="16"/>
      <c r="AR12" s="16"/>
      <c r="AS12" s="16"/>
      <c r="AT12" s="25" t="s">
        <v>134</v>
      </c>
      <c r="AU12" s="25">
        <v>26</v>
      </c>
      <c r="AV12" s="16"/>
      <c r="AW12" s="25" t="s">
        <v>173</v>
      </c>
      <c r="AX12" s="25">
        <v>152</v>
      </c>
      <c r="AY12" s="16"/>
      <c r="AZ12" s="25" t="s">
        <v>174</v>
      </c>
      <c r="BA12" s="25">
        <v>68</v>
      </c>
      <c r="BB12" s="16"/>
      <c r="BC12" s="25" t="s">
        <v>99</v>
      </c>
      <c r="BD12" s="25">
        <v>314</v>
      </c>
      <c r="BE12" s="16"/>
      <c r="BF12" s="25" t="s">
        <v>111</v>
      </c>
      <c r="BG12" s="25">
        <f>BG43</f>
        <v>676</v>
      </c>
      <c r="BH12" s="16"/>
      <c r="BI12" s="25" t="s">
        <v>134</v>
      </c>
      <c r="BJ12" s="25">
        <v>15</v>
      </c>
      <c r="BK12" s="16"/>
      <c r="BL12" s="25" t="s">
        <v>111</v>
      </c>
      <c r="BM12" s="25">
        <f>BM51</f>
        <v>984</v>
      </c>
      <c r="BN12" s="16"/>
      <c r="BO12" s="25" t="s">
        <v>111</v>
      </c>
      <c r="BP12" s="25">
        <f>BP51</f>
        <v>1348</v>
      </c>
      <c r="BQ12" s="16"/>
      <c r="BR12" s="25" t="s">
        <v>175</v>
      </c>
      <c r="BS12" s="25">
        <f>SUM(BS27:BS36)</f>
        <v>521</v>
      </c>
      <c r="BT12" s="16"/>
      <c r="BU12" s="25" t="s">
        <v>111</v>
      </c>
      <c r="BV12" s="36">
        <f>BV37</f>
        <v>684</v>
      </c>
      <c r="BW12" s="16"/>
      <c r="BX12" s="16"/>
      <c r="BY12" s="16"/>
      <c r="BZ12" s="16"/>
      <c r="CA12" s="25" t="s">
        <v>176</v>
      </c>
      <c r="CB12" s="25">
        <v>171</v>
      </c>
      <c r="CC12" s="16"/>
      <c r="CD12" s="25" t="s">
        <v>176</v>
      </c>
      <c r="CE12" s="25">
        <v>310</v>
      </c>
      <c r="CF12" s="16"/>
      <c r="CG12" s="25" t="s">
        <v>176</v>
      </c>
      <c r="CH12" s="25">
        <v>244</v>
      </c>
      <c r="CI12" s="16"/>
      <c r="CJ12" s="25" t="s">
        <v>176</v>
      </c>
      <c r="CK12" s="25">
        <v>1303</v>
      </c>
      <c r="CL12" s="16"/>
      <c r="CM12" s="25" t="s">
        <v>176</v>
      </c>
      <c r="CN12" s="25">
        <v>784</v>
      </c>
      <c r="CO12" s="16"/>
      <c r="CP12" s="16" t="s">
        <v>176</v>
      </c>
      <c r="CQ12" s="16">
        <v>911</v>
      </c>
      <c r="CR12" s="16"/>
      <c r="CS12" s="16"/>
      <c r="CT12" s="28" t="s">
        <v>177</v>
      </c>
      <c r="CU12" s="28">
        <v>34</v>
      </c>
      <c r="CV12" s="16"/>
      <c r="CW12" s="16"/>
      <c r="CX12" s="16"/>
      <c r="CY12" s="16"/>
      <c r="CZ12" s="28" t="s">
        <v>178</v>
      </c>
      <c r="DA12" s="28">
        <v>15</v>
      </c>
      <c r="DB12" s="16"/>
      <c r="DC12" s="28" t="s">
        <v>111</v>
      </c>
      <c r="DD12" s="28">
        <f>DD35</f>
        <v>877</v>
      </c>
      <c r="DE12" s="16"/>
      <c r="DF12" s="28" t="s">
        <v>179</v>
      </c>
      <c r="DG12" s="28">
        <v>30</v>
      </c>
      <c r="DH12" s="16"/>
      <c r="DI12" s="28" t="s">
        <v>111</v>
      </c>
      <c r="DJ12" s="28">
        <f>DJ37</f>
        <v>1180</v>
      </c>
      <c r="DK12" s="16"/>
      <c r="DL12" s="28" t="s">
        <v>111</v>
      </c>
      <c r="DM12" s="28">
        <f>DM35</f>
        <v>1013</v>
      </c>
      <c r="DN12" s="16"/>
      <c r="DO12" s="28" t="s">
        <v>111</v>
      </c>
      <c r="DP12" s="28">
        <f>DP35</f>
        <v>1319</v>
      </c>
      <c r="DR12" s="28" t="s">
        <v>111</v>
      </c>
      <c r="DS12" s="28">
        <f>DS44</f>
        <v>3329</v>
      </c>
      <c r="DT12" s="1"/>
      <c r="DU12" s="28" t="s">
        <v>111</v>
      </c>
      <c r="DV12" s="28">
        <f>DV34</f>
        <v>1111</v>
      </c>
      <c r="DW12" s="1"/>
      <c r="DX12" s="28" t="s">
        <v>111</v>
      </c>
      <c r="DY12" s="28">
        <f>DY36</f>
        <v>595</v>
      </c>
      <c r="EA12" s="28" t="s">
        <v>111</v>
      </c>
      <c r="EB12" s="28">
        <f>EB36</f>
        <v>797</v>
      </c>
      <c r="ED12" s="28" t="s">
        <v>111</v>
      </c>
      <c r="EE12" s="28">
        <f>EE36</f>
        <v>892</v>
      </c>
      <c r="EG12" s="28" t="s">
        <v>111</v>
      </c>
      <c r="EH12" s="28">
        <f>EH36</f>
        <v>979</v>
      </c>
      <c r="EJ12" s="28" t="s">
        <v>111</v>
      </c>
      <c r="EK12" s="28">
        <f>EK37</f>
        <v>1416</v>
      </c>
      <c r="EL12" s="34"/>
      <c r="EM12" s="30" t="s">
        <v>111</v>
      </c>
      <c r="EN12" s="30">
        <f>EN34</f>
        <v>797</v>
      </c>
      <c r="EO12" s="21"/>
      <c r="EP12" s="30" t="s">
        <v>111</v>
      </c>
      <c r="EQ12" s="30">
        <f>EQ40</f>
        <v>1925</v>
      </c>
      <c r="ER12" s="24"/>
      <c r="ES12" s="30" t="s">
        <v>111</v>
      </c>
      <c r="ET12" s="30">
        <f>ET38</f>
        <v>1159</v>
      </c>
      <c r="EV12" s="30" t="s">
        <v>111</v>
      </c>
      <c r="EW12" s="30">
        <f>EW38</f>
        <v>968</v>
      </c>
      <c r="EY12" s="30" t="s">
        <v>111</v>
      </c>
      <c r="EZ12" s="30">
        <f>EZ38</f>
        <v>524</v>
      </c>
      <c r="FA12" s="21"/>
      <c r="FB12" s="30" t="s">
        <v>111</v>
      </c>
      <c r="FC12" s="30">
        <f>FC43</f>
        <v>5608</v>
      </c>
      <c r="FE12" s="30" t="s">
        <v>111</v>
      </c>
      <c r="FF12" s="30">
        <f>FF39</f>
        <v>1653</v>
      </c>
      <c r="FG12" s="1"/>
      <c r="FH12" s="28" t="s">
        <v>180</v>
      </c>
      <c r="FI12" s="42">
        <f>768+1014</f>
        <v>1782</v>
      </c>
      <c r="FJ12" s="21"/>
      <c r="FK12" s="30" t="s">
        <v>111</v>
      </c>
      <c r="FL12" s="30">
        <f>FL38</f>
        <v>1113</v>
      </c>
      <c r="FN12" s="31" t="s">
        <v>100</v>
      </c>
      <c r="FO12" s="31">
        <v>22</v>
      </c>
      <c r="FQ12" s="30" t="s">
        <v>111</v>
      </c>
      <c r="FR12" s="30">
        <f>FR38</f>
        <v>1010</v>
      </c>
      <c r="FT12" s="182" t="s">
        <v>100</v>
      </c>
      <c r="FU12" s="183">
        <v>22</v>
      </c>
      <c r="FV12" s="22"/>
      <c r="FW12" s="187" t="s">
        <v>111</v>
      </c>
      <c r="FX12" s="188">
        <f>FX41</f>
        <v>5665</v>
      </c>
      <c r="FY12" s="186"/>
      <c r="FZ12" s="201" t="s">
        <v>852</v>
      </c>
      <c r="GA12" s="202"/>
      <c r="GB12" s="24"/>
      <c r="GC12" s="201" t="s">
        <v>852</v>
      </c>
      <c r="GD12" s="202">
        <f>GD75</f>
        <v>0</v>
      </c>
      <c r="GE12" s="24"/>
      <c r="GF12" s="201" t="s">
        <v>852</v>
      </c>
      <c r="GG12" s="202">
        <f>GG76</f>
        <v>22</v>
      </c>
      <c r="GH12" s="24"/>
      <c r="GI12" s="48" t="s">
        <v>852</v>
      </c>
      <c r="GJ12" s="24">
        <f>GJ61</f>
        <v>0</v>
      </c>
      <c r="GK12" s="24"/>
      <c r="GL12" s="48" t="s">
        <v>852</v>
      </c>
      <c r="GM12" s="24">
        <f>GM61</f>
        <v>0</v>
      </c>
      <c r="GN12" s="24"/>
      <c r="GO12" s="48" t="s">
        <v>852</v>
      </c>
      <c r="GP12" s="24">
        <f>GP61</f>
        <v>0</v>
      </c>
      <c r="GQ12" s="24"/>
      <c r="GR12" s="48" t="s">
        <v>852</v>
      </c>
      <c r="GS12" s="24">
        <f>GS61</f>
        <v>0</v>
      </c>
      <c r="GT12" s="24"/>
      <c r="GU12" s="48" t="s">
        <v>852</v>
      </c>
      <c r="GV12" s="24">
        <f>GV61</f>
        <v>0</v>
      </c>
      <c r="GX12" s="48" t="s">
        <v>852</v>
      </c>
      <c r="GY12" s="24">
        <f>GY61</f>
        <v>0</v>
      </c>
      <c r="HA12" s="48" t="s">
        <v>852</v>
      </c>
      <c r="HB12" s="24">
        <f>HB61</f>
        <v>0</v>
      </c>
      <c r="HD12" s="48" t="s">
        <v>852</v>
      </c>
      <c r="HE12" s="24">
        <f>HE61</f>
        <v>0</v>
      </c>
    </row>
    <row r="13" spans="1:213" ht="14" x14ac:dyDescent="0.3">
      <c r="A13" s="26" t="s">
        <v>181</v>
      </c>
      <c r="B13" s="26">
        <v>130</v>
      </c>
      <c r="C13" s="16"/>
      <c r="D13" s="26" t="s">
        <v>181</v>
      </c>
      <c r="E13" s="26">
        <v>130</v>
      </c>
      <c r="F13" s="16"/>
      <c r="G13" s="26" t="s">
        <v>181</v>
      </c>
      <c r="H13" s="26">
        <v>130</v>
      </c>
      <c r="I13" s="16"/>
      <c r="J13" s="26" t="s">
        <v>181</v>
      </c>
      <c r="K13" s="26">
        <v>0</v>
      </c>
      <c r="L13" s="16"/>
      <c r="M13" s="25" t="s">
        <v>181</v>
      </c>
      <c r="N13" s="25">
        <v>1766</v>
      </c>
      <c r="O13" s="29" t="s">
        <v>182</v>
      </c>
      <c r="P13" s="25" t="s">
        <v>181</v>
      </c>
      <c r="Q13" s="25">
        <v>937</v>
      </c>
      <c r="R13" s="16"/>
      <c r="S13" s="25" t="s">
        <v>183</v>
      </c>
      <c r="T13" s="25">
        <v>134</v>
      </c>
      <c r="U13" s="16"/>
      <c r="V13" s="44" t="s">
        <v>184</v>
      </c>
      <c r="W13" s="44">
        <v>192</v>
      </c>
      <c r="X13" s="16"/>
      <c r="Y13" s="25" t="s">
        <v>92</v>
      </c>
      <c r="Z13" s="25">
        <v>250</v>
      </c>
      <c r="AA13" s="16"/>
      <c r="AB13" s="25" t="s">
        <v>185</v>
      </c>
      <c r="AC13" s="25">
        <v>39</v>
      </c>
      <c r="AD13" s="24"/>
      <c r="AE13" s="25" t="s">
        <v>137</v>
      </c>
      <c r="AF13" s="25">
        <v>133</v>
      </c>
      <c r="AG13" s="16"/>
      <c r="AH13" s="25" t="s">
        <v>186</v>
      </c>
      <c r="AI13" s="25">
        <v>100</v>
      </c>
      <c r="AJ13" s="16"/>
      <c r="AK13" s="25"/>
      <c r="AL13" s="25"/>
      <c r="AM13" s="16"/>
      <c r="AN13" s="16"/>
      <c r="AO13" s="16"/>
      <c r="AP13" s="16"/>
      <c r="AQ13" s="16"/>
      <c r="AR13" s="16"/>
      <c r="AS13" s="16"/>
      <c r="AT13" s="25" t="s">
        <v>187</v>
      </c>
      <c r="AU13" s="25">
        <v>20</v>
      </c>
      <c r="AV13" s="16"/>
      <c r="AW13" s="25" t="s">
        <v>111</v>
      </c>
      <c r="AX13" s="25">
        <f>AX31</f>
        <v>155</v>
      </c>
      <c r="AY13" s="16"/>
      <c r="AZ13" s="25" t="s">
        <v>111</v>
      </c>
      <c r="BA13" s="25">
        <f>BA36+18</f>
        <v>929</v>
      </c>
      <c r="BB13" s="16"/>
      <c r="BC13" s="25" t="s">
        <v>188</v>
      </c>
      <c r="BD13" s="25">
        <f>480+88</f>
        <v>568</v>
      </c>
      <c r="BE13" s="16"/>
      <c r="BF13" s="25" t="s">
        <v>134</v>
      </c>
      <c r="BG13" s="25">
        <v>55</v>
      </c>
      <c r="BH13" s="16"/>
      <c r="BI13" s="25" t="s">
        <v>189</v>
      </c>
      <c r="BJ13" s="25">
        <v>342</v>
      </c>
      <c r="BK13" s="16"/>
      <c r="BL13" s="16"/>
      <c r="BM13" s="16"/>
      <c r="BN13" s="16"/>
      <c r="BO13" s="16"/>
      <c r="BP13" s="16"/>
      <c r="BQ13" s="16"/>
      <c r="BR13" s="25" t="s">
        <v>111</v>
      </c>
      <c r="BS13" s="25">
        <f>BS59</f>
        <v>735</v>
      </c>
      <c r="BT13" s="16"/>
      <c r="BU13" s="16"/>
      <c r="BV13" s="16"/>
      <c r="BW13" s="16"/>
      <c r="BX13" s="25" t="s">
        <v>111</v>
      </c>
      <c r="BY13" s="36">
        <f>BY38</f>
        <v>577</v>
      </c>
      <c r="BZ13" s="16"/>
      <c r="CA13" s="25" t="s">
        <v>111</v>
      </c>
      <c r="CB13" s="36">
        <f>CB52</f>
        <v>890</v>
      </c>
      <c r="CC13" s="16"/>
      <c r="CD13" s="25" t="s">
        <v>111</v>
      </c>
      <c r="CE13" s="36">
        <f>CE48</f>
        <v>978</v>
      </c>
      <c r="CF13" s="16"/>
      <c r="CG13" s="25" t="s">
        <v>190</v>
      </c>
      <c r="CH13" s="25">
        <v>771</v>
      </c>
      <c r="CI13" s="16"/>
      <c r="CJ13" s="16"/>
      <c r="CK13" s="16"/>
      <c r="CL13" s="16"/>
      <c r="CM13" s="25" t="s">
        <v>191</v>
      </c>
      <c r="CN13" s="25">
        <v>413</v>
      </c>
      <c r="CO13" s="16"/>
      <c r="CP13" s="16"/>
      <c r="CQ13" s="16"/>
      <c r="CR13" s="16"/>
      <c r="CS13" s="16"/>
      <c r="CT13" s="28" t="s">
        <v>192</v>
      </c>
      <c r="CU13" s="28">
        <v>109</v>
      </c>
      <c r="CV13" s="16"/>
      <c r="CW13" s="16"/>
      <c r="CX13" s="16"/>
      <c r="CY13" s="16"/>
      <c r="CZ13" s="28" t="s">
        <v>92</v>
      </c>
      <c r="DA13" s="28">
        <v>52</v>
      </c>
      <c r="DB13" s="16"/>
      <c r="DC13" s="28" t="s">
        <v>193</v>
      </c>
      <c r="DD13" s="28">
        <v>50</v>
      </c>
      <c r="DE13" s="16"/>
      <c r="DF13" s="28" t="s">
        <v>111</v>
      </c>
      <c r="DG13" s="28">
        <f>DG43</f>
        <v>754</v>
      </c>
      <c r="DH13" s="16"/>
      <c r="DI13" s="28" t="s">
        <v>194</v>
      </c>
      <c r="DJ13" s="28">
        <v>595</v>
      </c>
      <c r="DK13" s="27"/>
      <c r="DL13" s="28" t="s">
        <v>143</v>
      </c>
      <c r="DM13" s="28">
        <v>42</v>
      </c>
      <c r="DN13" s="16"/>
      <c r="DO13" s="28" t="s">
        <v>195</v>
      </c>
      <c r="DP13" s="28">
        <v>1100</v>
      </c>
      <c r="DR13" s="28" t="s">
        <v>196</v>
      </c>
      <c r="DS13" s="28">
        <f>307+74</f>
        <v>381</v>
      </c>
      <c r="DT13" s="1"/>
      <c r="DU13" s="16"/>
      <c r="DV13" s="16"/>
      <c r="DW13" s="1"/>
      <c r="DX13" s="28" t="s">
        <v>154</v>
      </c>
      <c r="DY13" s="28">
        <v>400</v>
      </c>
      <c r="DZ13" s="1"/>
      <c r="EA13" s="28" t="s">
        <v>187</v>
      </c>
      <c r="EB13" s="28">
        <v>100</v>
      </c>
      <c r="ED13" s="1"/>
      <c r="EE13" s="1"/>
      <c r="EG13" s="28" t="s">
        <v>197</v>
      </c>
      <c r="EH13" s="28">
        <v>32</v>
      </c>
      <c r="EJ13" s="28" t="s">
        <v>198</v>
      </c>
      <c r="EK13" s="30">
        <v>3842</v>
      </c>
      <c r="EL13" s="34"/>
      <c r="EM13" s="24"/>
      <c r="EN13" s="21"/>
      <c r="EO13" s="21"/>
      <c r="EP13" s="30" t="s">
        <v>199</v>
      </c>
      <c r="EQ13" s="45">
        <v>1000</v>
      </c>
      <c r="ER13" s="24"/>
      <c r="ES13" s="24"/>
      <c r="ET13" s="24"/>
      <c r="EV13" s="30" t="s">
        <v>199</v>
      </c>
      <c r="EW13" s="30">
        <v>766</v>
      </c>
      <c r="EX13" s="1"/>
      <c r="EY13" s="45" t="s">
        <v>199</v>
      </c>
      <c r="EZ13" s="45">
        <v>779</v>
      </c>
      <c r="FA13" s="21"/>
      <c r="FB13" s="45" t="s">
        <v>199</v>
      </c>
      <c r="FC13" s="45">
        <v>1083</v>
      </c>
      <c r="FD13" s="46"/>
      <c r="FE13" s="30" t="s">
        <v>199</v>
      </c>
      <c r="FF13" s="45">
        <v>706</v>
      </c>
      <c r="FG13" s="1"/>
      <c r="FH13" s="30" t="s">
        <v>200</v>
      </c>
      <c r="FI13" s="30">
        <f>1275+362+570</f>
        <v>2207</v>
      </c>
      <c r="FJ13" s="37"/>
      <c r="FK13" s="28" t="s">
        <v>167</v>
      </c>
      <c r="FL13" s="42">
        <v>869</v>
      </c>
      <c r="FM13" s="47"/>
      <c r="FN13" s="30" t="s">
        <v>111</v>
      </c>
      <c r="FO13" s="30">
        <f>FO38</f>
        <v>6781</v>
      </c>
      <c r="FP13" s="47"/>
      <c r="FQ13" s="21"/>
      <c r="FR13" s="21"/>
      <c r="FT13" s="30" t="s">
        <v>111</v>
      </c>
      <c r="FU13" s="30">
        <f>FU41</f>
        <v>2660</v>
      </c>
      <c r="FV13" s="22"/>
      <c r="FW13" s="182" t="s">
        <v>841</v>
      </c>
      <c r="FX13" s="182">
        <v>40</v>
      </c>
      <c r="FY13" s="186"/>
      <c r="FZ13" s="30" t="s">
        <v>111</v>
      </c>
      <c r="GA13" s="30">
        <f>GA41</f>
        <v>6059</v>
      </c>
      <c r="GB13" s="24"/>
      <c r="GC13" s="210" t="s">
        <v>111</v>
      </c>
      <c r="GD13" s="182">
        <f>GD38</f>
        <v>3715</v>
      </c>
      <c r="GE13" s="236"/>
      <c r="GF13" s="272" t="s">
        <v>111</v>
      </c>
      <c r="GG13" s="272">
        <f>GG39</f>
        <v>1468</v>
      </c>
      <c r="GH13" s="236"/>
      <c r="GI13" s="194" t="s">
        <v>111</v>
      </c>
      <c r="GJ13" s="194">
        <f>GJ38</f>
        <v>0</v>
      </c>
      <c r="GK13" s="191"/>
      <c r="GL13" s="194" t="s">
        <v>111</v>
      </c>
      <c r="GM13" s="194">
        <f>GM38</f>
        <v>0</v>
      </c>
      <c r="GN13" s="191"/>
      <c r="GO13" s="194" t="s">
        <v>111</v>
      </c>
      <c r="GP13" s="194">
        <f>GP38</f>
        <v>0</v>
      </c>
      <c r="GQ13" s="191"/>
      <c r="GR13" s="194" t="s">
        <v>111</v>
      </c>
      <c r="GS13" s="194">
        <f>GS38</f>
        <v>0</v>
      </c>
      <c r="GT13" s="191"/>
      <c r="GU13" s="194" t="s">
        <v>111</v>
      </c>
      <c r="GV13" s="194">
        <f>GV38</f>
        <v>0</v>
      </c>
      <c r="GW13" s="195"/>
      <c r="GX13" s="194" t="s">
        <v>111</v>
      </c>
      <c r="GY13" s="194">
        <f>GY38</f>
        <v>0</v>
      </c>
      <c r="GZ13" s="195"/>
      <c r="HA13" s="194" t="s">
        <v>111</v>
      </c>
      <c r="HB13" s="194">
        <f>HB38</f>
        <v>0</v>
      </c>
      <c r="HC13" s="195"/>
      <c r="HD13" s="194" t="s">
        <v>111</v>
      </c>
      <c r="HE13" s="194">
        <f>HE38</f>
        <v>0</v>
      </c>
    </row>
    <row r="14" spans="1:213" ht="14" x14ac:dyDescent="0.3">
      <c r="A14" s="39" t="s">
        <v>139</v>
      </c>
      <c r="B14" s="39">
        <v>150</v>
      </c>
      <c r="C14" s="16"/>
      <c r="D14" s="25" t="s">
        <v>139</v>
      </c>
      <c r="E14" s="25">
        <v>150</v>
      </c>
      <c r="F14" s="16"/>
      <c r="G14" s="26" t="s">
        <v>201</v>
      </c>
      <c r="H14" s="26">
        <v>130</v>
      </c>
      <c r="I14" s="16"/>
      <c r="J14" s="26" t="s">
        <v>202</v>
      </c>
      <c r="K14" s="26">
        <v>27</v>
      </c>
      <c r="L14" s="16"/>
      <c r="M14" s="25" t="s">
        <v>203</v>
      </c>
      <c r="N14" s="25">
        <v>75</v>
      </c>
      <c r="O14" s="16"/>
      <c r="P14" s="25" t="s">
        <v>111</v>
      </c>
      <c r="Q14" s="25">
        <v>90</v>
      </c>
      <c r="R14" s="16"/>
      <c r="S14" s="25" t="s">
        <v>111</v>
      </c>
      <c r="T14" s="25">
        <v>541</v>
      </c>
      <c r="U14" s="16"/>
      <c r="V14" s="25" t="s">
        <v>204</v>
      </c>
      <c r="W14" s="25">
        <v>110</v>
      </c>
      <c r="X14" s="16"/>
      <c r="Y14" s="25" t="s">
        <v>205</v>
      </c>
      <c r="Z14" s="25">
        <v>150</v>
      </c>
      <c r="AA14" s="16"/>
      <c r="AB14" s="16"/>
      <c r="AC14" s="16"/>
      <c r="AD14" s="16"/>
      <c r="AE14" s="16"/>
      <c r="AF14" s="16"/>
      <c r="AG14" s="16"/>
      <c r="AH14" s="25" t="s">
        <v>206</v>
      </c>
      <c r="AI14" s="25">
        <v>132</v>
      </c>
      <c r="AJ14" s="16"/>
      <c r="AK14" s="16"/>
      <c r="AL14" s="16"/>
      <c r="AM14" s="16"/>
      <c r="AN14" s="16"/>
      <c r="AO14" s="16"/>
      <c r="AP14" s="16"/>
      <c r="AQ14" s="16"/>
      <c r="AR14" s="16"/>
      <c r="AS14" s="16"/>
      <c r="AT14" s="25" t="s">
        <v>111</v>
      </c>
      <c r="AU14" s="25">
        <f>AU28</f>
        <v>413</v>
      </c>
      <c r="AV14" s="16"/>
      <c r="AW14" s="16"/>
      <c r="AX14" s="16"/>
      <c r="AY14" s="16"/>
      <c r="AZ14" s="16"/>
      <c r="BA14" s="16"/>
      <c r="BB14" s="16"/>
      <c r="BC14" s="16"/>
      <c r="BD14" s="16"/>
      <c r="BE14" s="16"/>
      <c r="BF14" s="25" t="s">
        <v>207</v>
      </c>
      <c r="BG14" s="25">
        <f>263+411</f>
        <v>674</v>
      </c>
      <c r="BH14" s="16"/>
      <c r="BI14" s="25" t="s">
        <v>111</v>
      </c>
      <c r="BJ14" s="25">
        <f>BJ55</f>
        <v>940</v>
      </c>
      <c r="BK14" s="16"/>
      <c r="BL14" s="16"/>
      <c r="BM14" s="16"/>
      <c r="BN14" s="16"/>
      <c r="BO14" s="16"/>
      <c r="BP14" s="16"/>
      <c r="BQ14" s="16"/>
      <c r="BR14" s="25" t="s">
        <v>134</v>
      </c>
      <c r="BS14" s="25">
        <v>18</v>
      </c>
      <c r="BT14" s="16"/>
      <c r="BU14" s="16"/>
      <c r="BV14" s="16"/>
      <c r="BW14" s="16"/>
      <c r="BX14" s="16"/>
      <c r="BY14" s="16"/>
      <c r="BZ14" s="16"/>
      <c r="CA14" s="25" t="s">
        <v>208</v>
      </c>
      <c r="CB14" s="25">
        <v>81</v>
      </c>
      <c r="CC14" s="16"/>
      <c r="CD14" s="16"/>
      <c r="CE14" s="16"/>
      <c r="CF14" s="16"/>
      <c r="CG14" s="25" t="s">
        <v>111</v>
      </c>
      <c r="CH14" s="36">
        <f>CH45</f>
        <v>1281</v>
      </c>
      <c r="CI14" s="16"/>
      <c r="CJ14" s="25" t="s">
        <v>111</v>
      </c>
      <c r="CK14" s="36">
        <f>CK46</f>
        <v>751</v>
      </c>
      <c r="CL14" s="16"/>
      <c r="CM14" s="25" t="s">
        <v>111</v>
      </c>
      <c r="CN14" s="36">
        <f>CN46</f>
        <v>1199</v>
      </c>
      <c r="CO14" s="16"/>
      <c r="CP14" s="25" t="s">
        <v>209</v>
      </c>
      <c r="CQ14" s="25">
        <v>482</v>
      </c>
      <c r="CR14" s="16"/>
      <c r="CS14" s="16"/>
      <c r="CT14" s="28" t="s">
        <v>210</v>
      </c>
      <c r="CU14" s="28">
        <f>50+21+53</f>
        <v>124</v>
      </c>
      <c r="CV14" s="16"/>
      <c r="CW14" s="16"/>
      <c r="CX14" s="16"/>
      <c r="CY14" s="16"/>
      <c r="CZ14" s="16"/>
      <c r="DA14" s="16"/>
      <c r="DB14" s="16"/>
      <c r="DC14" s="28" t="s">
        <v>211</v>
      </c>
      <c r="DD14" s="28">
        <v>169</v>
      </c>
      <c r="DE14" s="16"/>
      <c r="DF14" s="28" t="s">
        <v>208</v>
      </c>
      <c r="DG14" s="28">
        <f>259+30</f>
        <v>289</v>
      </c>
      <c r="DH14" s="16"/>
      <c r="DI14" s="28" t="s">
        <v>143</v>
      </c>
      <c r="DJ14" s="28">
        <v>40</v>
      </c>
      <c r="DK14" s="16"/>
      <c r="DL14" s="16"/>
      <c r="DM14" s="16"/>
      <c r="DN14" s="16"/>
      <c r="DO14" s="28" t="s">
        <v>116</v>
      </c>
      <c r="DP14" s="28">
        <v>24</v>
      </c>
      <c r="DR14" s="28" t="s">
        <v>155</v>
      </c>
      <c r="DS14" s="28">
        <v>523</v>
      </c>
      <c r="DT14" s="1"/>
      <c r="DU14" s="28" t="s">
        <v>152</v>
      </c>
      <c r="DV14" s="28">
        <v>65</v>
      </c>
      <c r="DW14" s="1"/>
      <c r="DX14" s="16"/>
      <c r="DY14" s="16"/>
      <c r="DZ14" s="1"/>
      <c r="EA14" s="16"/>
      <c r="EB14" s="16"/>
      <c r="ED14" s="16"/>
      <c r="EE14" s="16"/>
      <c r="EG14" s="16"/>
      <c r="EH14" s="16"/>
      <c r="EJ14" s="28" t="s">
        <v>212</v>
      </c>
      <c r="EK14" s="38">
        <v>1426</v>
      </c>
      <c r="EL14" s="34"/>
      <c r="EM14" s="21"/>
      <c r="EN14" s="21"/>
      <c r="EO14" s="21"/>
      <c r="EP14" s="30" t="s">
        <v>143</v>
      </c>
      <c r="EQ14" s="45">
        <v>10</v>
      </c>
      <c r="ER14" s="21"/>
      <c r="ES14" s="21"/>
      <c r="ET14" s="21"/>
      <c r="EV14" s="21"/>
      <c r="EW14" s="21"/>
      <c r="EX14" s="21"/>
      <c r="EY14" s="21"/>
      <c r="EZ14" s="21"/>
      <c r="FB14" s="21"/>
      <c r="FC14" s="21"/>
      <c r="FE14" s="30" t="s">
        <v>213</v>
      </c>
      <c r="FF14" s="30">
        <f>136-18</f>
        <v>118</v>
      </c>
      <c r="FG14" s="1"/>
      <c r="FH14" s="30"/>
      <c r="FI14" s="30"/>
      <c r="FJ14" s="48"/>
      <c r="FK14" s="21"/>
      <c r="FL14" s="21"/>
      <c r="FQ14" s="21"/>
      <c r="FR14" s="21"/>
      <c r="FT14" s="30" t="s">
        <v>655</v>
      </c>
      <c r="FU14" s="30">
        <f>38+38</f>
        <v>76</v>
      </c>
      <c r="FV14" s="22"/>
      <c r="FW14" s="182" t="s">
        <v>842</v>
      </c>
      <c r="FX14" s="182">
        <f>7+7</f>
        <v>14</v>
      </c>
      <c r="FY14" s="20"/>
      <c r="FZ14" s="182" t="s">
        <v>850</v>
      </c>
      <c r="GA14" s="182">
        <v>40</v>
      </c>
      <c r="GB14" s="24"/>
      <c r="GC14" s="24"/>
      <c r="GD14" s="24"/>
      <c r="GE14" s="236"/>
      <c r="GF14" s="215" t="s">
        <v>900</v>
      </c>
      <c r="GG14" s="191">
        <v>200</v>
      </c>
      <c r="GH14" s="236"/>
      <c r="GI14" s="215" t="s">
        <v>900</v>
      </c>
      <c r="GJ14" s="191">
        <v>200</v>
      </c>
      <c r="GK14" s="191"/>
      <c r="GL14" s="215" t="s">
        <v>900</v>
      </c>
      <c r="GM14" s="191">
        <v>200</v>
      </c>
      <c r="GN14" s="191"/>
      <c r="GO14" s="215" t="s">
        <v>900</v>
      </c>
      <c r="GP14" s="191">
        <v>200</v>
      </c>
      <c r="GQ14" s="191"/>
      <c r="GR14" s="215" t="s">
        <v>900</v>
      </c>
      <c r="GS14" s="191">
        <v>200</v>
      </c>
      <c r="GT14" s="196"/>
      <c r="GU14" s="215" t="s">
        <v>900</v>
      </c>
      <c r="GV14" s="191">
        <v>200</v>
      </c>
      <c r="GW14" s="195"/>
      <c r="GX14" s="215" t="s">
        <v>900</v>
      </c>
      <c r="GY14" s="191">
        <v>200</v>
      </c>
      <c r="GZ14" s="195"/>
      <c r="HA14" s="215" t="s">
        <v>900</v>
      </c>
      <c r="HB14" s="191">
        <v>200</v>
      </c>
      <c r="HC14" s="195"/>
      <c r="HD14" s="215" t="s">
        <v>900</v>
      </c>
      <c r="HE14" s="191">
        <v>200</v>
      </c>
    </row>
    <row r="15" spans="1:213" ht="14" x14ac:dyDescent="0.3">
      <c r="A15" s="49" t="s">
        <v>13</v>
      </c>
      <c r="B15" s="49">
        <f>SUM(B6:B14)</f>
        <v>1129</v>
      </c>
      <c r="C15" s="16"/>
      <c r="D15" s="50" t="s">
        <v>13</v>
      </c>
      <c r="E15" s="50">
        <f>SUM(E6:E14)</f>
        <v>1012</v>
      </c>
      <c r="F15" s="16"/>
      <c r="G15" s="50" t="s">
        <v>13</v>
      </c>
      <c r="H15" s="50">
        <f>SUM(H4:H14)</f>
        <v>2370</v>
      </c>
      <c r="I15" s="16"/>
      <c r="J15" s="50" t="s">
        <v>13</v>
      </c>
      <c r="K15" s="50">
        <f>SUM(K5:K14)</f>
        <v>2717</v>
      </c>
      <c r="L15" s="16"/>
      <c r="M15" s="50" t="s">
        <v>13</v>
      </c>
      <c r="N15" s="50">
        <f>SUM(N5:N14)</f>
        <v>3003</v>
      </c>
      <c r="O15" s="16"/>
      <c r="P15" s="50" t="s">
        <v>13</v>
      </c>
      <c r="Q15" s="50">
        <f>SUM(Q4:Q14)</f>
        <v>2189</v>
      </c>
      <c r="R15" s="16"/>
      <c r="S15" s="50" t="s">
        <v>13</v>
      </c>
      <c r="T15" s="50">
        <f>SUM(T4:T14)</f>
        <v>2352</v>
      </c>
      <c r="U15" s="16"/>
      <c r="V15" s="50" t="s">
        <v>13</v>
      </c>
      <c r="W15" s="50">
        <f>SUM(W4:W14)</f>
        <v>2263</v>
      </c>
      <c r="X15" s="16"/>
      <c r="Y15" s="50" t="s">
        <v>13</v>
      </c>
      <c r="Z15" s="50">
        <f>SUM(Z5:Z14)</f>
        <v>2115</v>
      </c>
      <c r="AA15" s="16"/>
      <c r="AB15" s="50" t="s">
        <v>13</v>
      </c>
      <c r="AC15" s="50">
        <f>SUM(AC5:AC14)</f>
        <v>1926</v>
      </c>
      <c r="AD15" s="16"/>
      <c r="AE15" s="50" t="s">
        <v>13</v>
      </c>
      <c r="AF15" s="50">
        <f>SUM(AF5:AF14)</f>
        <v>2038</v>
      </c>
      <c r="AG15" s="16"/>
      <c r="AH15" s="25" t="s">
        <v>214</v>
      </c>
      <c r="AI15" s="25">
        <v>336</v>
      </c>
      <c r="AJ15" s="16"/>
      <c r="AK15" s="50" t="s">
        <v>13</v>
      </c>
      <c r="AL15" s="50">
        <f>SUM(AL5:AL14)</f>
        <v>1969</v>
      </c>
      <c r="AM15" s="16"/>
      <c r="AN15" s="50" t="s">
        <v>13</v>
      </c>
      <c r="AO15" s="50">
        <f>SUM(AO5:AO14)</f>
        <v>1147</v>
      </c>
      <c r="AP15" s="16"/>
      <c r="AQ15" s="50" t="s">
        <v>13</v>
      </c>
      <c r="AR15" s="50">
        <f>SUM(AR5:AR14)</f>
        <v>1114</v>
      </c>
      <c r="AS15" s="16"/>
      <c r="AT15" s="50" t="s">
        <v>13</v>
      </c>
      <c r="AU15" s="50">
        <f>SUM(AU5:AU14)</f>
        <v>1336</v>
      </c>
      <c r="AV15" s="16"/>
      <c r="AW15" s="50" t="s">
        <v>13</v>
      </c>
      <c r="AX15" s="50">
        <f>SUM(AX5:AX14)</f>
        <v>1265</v>
      </c>
      <c r="AY15" s="16"/>
      <c r="AZ15" s="50" t="s">
        <v>13</v>
      </c>
      <c r="BA15" s="50">
        <f>SUM(BA5:BA14)</f>
        <v>2723</v>
      </c>
      <c r="BB15" s="16"/>
      <c r="BC15" s="50" t="s">
        <v>13</v>
      </c>
      <c r="BD15" s="50">
        <f>SUM(BD5:BD14)</f>
        <v>3262</v>
      </c>
      <c r="BE15" s="16"/>
      <c r="BF15" s="50" t="s">
        <v>13</v>
      </c>
      <c r="BG15" s="50">
        <f>SUM(BG5:BG14)</f>
        <v>2587</v>
      </c>
      <c r="BH15" s="16"/>
      <c r="BI15" s="50" t="s">
        <v>13</v>
      </c>
      <c r="BJ15" s="50">
        <f>SUM(BJ5:BJ14)</f>
        <v>2367</v>
      </c>
      <c r="BK15" s="16"/>
      <c r="BL15" s="50" t="s">
        <v>13</v>
      </c>
      <c r="BM15" s="50">
        <f>SUM(BM5:BM14)</f>
        <v>2124</v>
      </c>
      <c r="BN15" s="16"/>
      <c r="BO15" s="50" t="s">
        <v>13</v>
      </c>
      <c r="BP15" s="50">
        <f>SUM(BP5:BP14)</f>
        <v>2751</v>
      </c>
      <c r="BQ15" s="16"/>
      <c r="BR15" s="50" t="s">
        <v>13</v>
      </c>
      <c r="BS15" s="50">
        <f>SUM(BS5:BS14)</f>
        <v>2544</v>
      </c>
      <c r="BT15" s="16"/>
      <c r="BU15" s="50" t="s">
        <v>13</v>
      </c>
      <c r="BV15" s="50">
        <f>SUM(BV5:BV14)</f>
        <v>5397</v>
      </c>
      <c r="BW15" s="16"/>
      <c r="BX15" s="50" t="s">
        <v>13</v>
      </c>
      <c r="BY15" s="50">
        <f>SUM(BY5:BY14)</f>
        <v>2798</v>
      </c>
      <c r="BZ15" s="16"/>
      <c r="CA15" s="50" t="s">
        <v>13</v>
      </c>
      <c r="CB15" s="50">
        <f>SUM(CB5:CB14)</f>
        <v>3400</v>
      </c>
      <c r="CC15" s="16"/>
      <c r="CD15" s="50" t="s">
        <v>13</v>
      </c>
      <c r="CE15" s="50">
        <f>SUM(CE5:CE14)</f>
        <v>3497</v>
      </c>
      <c r="CF15" s="16"/>
      <c r="CG15" s="50" t="s">
        <v>13</v>
      </c>
      <c r="CH15" s="50">
        <f>SUM(CH5:CH14)</f>
        <v>3022</v>
      </c>
      <c r="CI15" s="16"/>
      <c r="CJ15" s="50" t="s">
        <v>13</v>
      </c>
      <c r="CK15" s="50">
        <f>SUM(CK5:CK14)</f>
        <v>3498</v>
      </c>
      <c r="CL15" s="16"/>
      <c r="CM15" s="50" t="s">
        <v>13</v>
      </c>
      <c r="CN15" s="50">
        <f>SUM(CN5:CN14)</f>
        <v>3905</v>
      </c>
      <c r="CO15" s="16"/>
      <c r="CP15" s="50" t="s">
        <v>13</v>
      </c>
      <c r="CQ15" s="50">
        <f>SUM(CQ5:CQ14)</f>
        <v>3310</v>
      </c>
      <c r="CR15" s="16"/>
      <c r="CS15" s="16"/>
      <c r="CT15" s="28" t="s">
        <v>215</v>
      </c>
      <c r="CU15" s="28">
        <f>65+47+12+15+10+18+95+7+17+60</f>
        <v>346</v>
      </c>
      <c r="CV15" s="16"/>
      <c r="CW15" s="50" t="s">
        <v>13</v>
      </c>
      <c r="CX15" s="50">
        <f>SUM(CX5:CX14)</f>
        <v>2640</v>
      </c>
      <c r="CY15" s="16"/>
      <c r="CZ15" s="50" t="s">
        <v>13</v>
      </c>
      <c r="DA15" s="50">
        <f>SUM(DA5:DA14)</f>
        <v>1742</v>
      </c>
      <c r="DB15" s="16"/>
      <c r="DC15" s="50" t="s">
        <v>13</v>
      </c>
      <c r="DD15" s="50">
        <f>SUM(DD5:DD14)</f>
        <v>2726</v>
      </c>
      <c r="DE15" s="16"/>
      <c r="DF15" s="28" t="s">
        <v>216</v>
      </c>
      <c r="DG15" s="28">
        <v>190</v>
      </c>
      <c r="DH15" s="16"/>
      <c r="DI15" s="50" t="s">
        <v>13</v>
      </c>
      <c r="DJ15" s="50">
        <f>SUM(DJ5:DJ14)</f>
        <v>3932</v>
      </c>
      <c r="DK15" s="16"/>
      <c r="DL15" s="50" t="s">
        <v>13</v>
      </c>
      <c r="DM15" s="50">
        <f>SUM(DM5:DM14)</f>
        <v>2302</v>
      </c>
      <c r="DN15" s="16"/>
      <c r="DO15" s="50" t="s">
        <v>13</v>
      </c>
      <c r="DP15" s="50">
        <f>SUM(DP5:DP14)</f>
        <v>3601</v>
      </c>
      <c r="DR15" s="50" t="s">
        <v>13</v>
      </c>
      <c r="DS15" s="50">
        <f>SUM(DS5:DS14)</f>
        <v>6456</v>
      </c>
      <c r="DT15" s="1"/>
      <c r="DU15" s="50" t="s">
        <v>13</v>
      </c>
      <c r="DV15" s="50">
        <f>SUM(DV5:DV14)</f>
        <v>2647</v>
      </c>
      <c r="DW15" s="1"/>
      <c r="DX15" s="50" t="s">
        <v>13</v>
      </c>
      <c r="DY15" s="50">
        <f>SUM(DY5:DY14)</f>
        <v>2623</v>
      </c>
      <c r="DZ15" s="1"/>
      <c r="EA15" s="50" t="s">
        <v>13</v>
      </c>
      <c r="EB15" s="50">
        <f>SUM(EB5:EB14)</f>
        <v>2527</v>
      </c>
      <c r="ED15" s="50" t="s">
        <v>13</v>
      </c>
      <c r="EE15" s="50">
        <f>SUM(EE5:EE14)</f>
        <v>2536</v>
      </c>
      <c r="EG15" s="50" t="s">
        <v>13</v>
      </c>
      <c r="EH15" s="50">
        <f>SUM(EH5:EH14)</f>
        <v>2511</v>
      </c>
      <c r="EJ15" s="50" t="s">
        <v>13</v>
      </c>
      <c r="EK15" s="51">
        <f>SUM(EK4:EK14)</f>
        <v>9702</v>
      </c>
      <c r="EL15" s="34"/>
      <c r="EM15" s="51" t="s">
        <v>13</v>
      </c>
      <c r="EN15" s="51">
        <f>SUM(EN5:EN14)</f>
        <v>2500</v>
      </c>
      <c r="EO15" s="21"/>
      <c r="EP15" s="51" t="s">
        <v>13</v>
      </c>
      <c r="EQ15" s="51">
        <f>SUM(EQ5:EQ14)</f>
        <v>5459</v>
      </c>
      <c r="ER15" s="24"/>
      <c r="ES15" s="51" t="s">
        <v>13</v>
      </c>
      <c r="ET15" s="51">
        <f>SUM(ET5:ET14)</f>
        <v>2783</v>
      </c>
      <c r="EV15" s="51" t="s">
        <v>13</v>
      </c>
      <c r="EW15" s="51">
        <f>SUM(EW5:EW14)</f>
        <v>3158</v>
      </c>
      <c r="EY15" s="51" t="s">
        <v>13</v>
      </c>
      <c r="EZ15" s="51">
        <f>SUM(EZ5:EZ14)</f>
        <v>2729</v>
      </c>
      <c r="FA15" s="21"/>
      <c r="FB15" s="51" t="s">
        <v>13</v>
      </c>
      <c r="FC15" s="51">
        <f>SUM(FC5:FC14)</f>
        <v>9195</v>
      </c>
      <c r="FD15" s="21"/>
      <c r="FE15" s="51" t="s">
        <v>13</v>
      </c>
      <c r="FF15" s="51">
        <f>SUM(FF5:FF14)</f>
        <v>4500</v>
      </c>
      <c r="FG15" s="21"/>
      <c r="FH15" s="51" t="s">
        <v>13</v>
      </c>
      <c r="FI15" s="51">
        <f>SUM(FI5:FI14)</f>
        <v>7121</v>
      </c>
      <c r="FJ15" s="37"/>
      <c r="FK15" s="51" t="s">
        <v>13</v>
      </c>
      <c r="FL15" s="51">
        <f>SUM(FL5:FL14)</f>
        <v>3452</v>
      </c>
      <c r="FN15" s="51" t="s">
        <v>13</v>
      </c>
      <c r="FO15" s="51">
        <f>SUM(FO5:FO14)</f>
        <v>9205</v>
      </c>
      <c r="FQ15" s="51" t="s">
        <v>13</v>
      </c>
      <c r="FR15" s="51">
        <f>SUM(FR5:FR14)</f>
        <v>2539</v>
      </c>
      <c r="FT15" s="51" t="s">
        <v>13</v>
      </c>
      <c r="FU15" s="51">
        <f>SUM(FU5:FU14)</f>
        <v>15859</v>
      </c>
      <c r="FV15" s="22"/>
      <c r="FW15" s="51" t="s">
        <v>13</v>
      </c>
      <c r="FX15" s="51">
        <f>SUM(FX5:FX14)</f>
        <v>7606</v>
      </c>
      <c r="FY15" s="186"/>
      <c r="FZ15" s="51" t="s">
        <v>13</v>
      </c>
      <c r="GA15" s="51">
        <f>SUM(GA5:GA14)</f>
        <v>7719</v>
      </c>
      <c r="GB15" s="51"/>
      <c r="GC15" s="51" t="s">
        <v>13</v>
      </c>
      <c r="GD15" s="51">
        <f>SUM(GD5:GD14)</f>
        <v>5471</v>
      </c>
      <c r="GE15" s="237"/>
      <c r="GF15" s="51" t="s">
        <v>13</v>
      </c>
      <c r="GG15" s="51">
        <f>SUM(GG5:GG14)</f>
        <v>3293</v>
      </c>
      <c r="GH15" s="24"/>
      <c r="GI15" s="51" t="s">
        <v>13</v>
      </c>
      <c r="GJ15" s="51">
        <f>SUM(GJ5:GJ14)</f>
        <v>1894</v>
      </c>
      <c r="GK15" s="24"/>
      <c r="GL15" s="51" t="s">
        <v>13</v>
      </c>
      <c r="GM15" s="51">
        <f>SUM(GM5:GM14)</f>
        <v>1804</v>
      </c>
      <c r="GN15" s="24"/>
      <c r="GO15" s="51" t="s">
        <v>13</v>
      </c>
      <c r="GP15" s="51">
        <f>SUM(GP5:GP14)</f>
        <v>1793</v>
      </c>
      <c r="GQ15" s="24"/>
      <c r="GR15" s="51" t="s">
        <v>13</v>
      </c>
      <c r="GS15" s="51">
        <f>SUM(GS5:GS14)</f>
        <v>1793</v>
      </c>
      <c r="GT15" s="51"/>
      <c r="GU15" s="51" t="s">
        <v>13</v>
      </c>
      <c r="GV15" s="51">
        <f>SUM(GV5:GV14)</f>
        <v>1793</v>
      </c>
      <c r="GX15" s="51" t="s">
        <v>13</v>
      </c>
      <c r="GY15" s="51">
        <f>SUM(GY5:GY14)</f>
        <v>1793</v>
      </c>
      <c r="HA15" s="51" t="s">
        <v>13</v>
      </c>
      <c r="HB15" s="51">
        <f>SUM(HB5:HB14)</f>
        <v>1793</v>
      </c>
      <c r="HD15" s="51" t="s">
        <v>13</v>
      </c>
      <c r="HE15" s="51">
        <f>SUM(HE5:HE14)</f>
        <v>1793</v>
      </c>
    </row>
    <row r="16" spans="1:213" ht="14" x14ac:dyDescent="0.3">
      <c r="A16" s="16"/>
      <c r="B16" s="16"/>
      <c r="C16" s="16"/>
      <c r="D16" s="16"/>
      <c r="E16" s="16"/>
      <c r="F16" s="16"/>
      <c r="G16" s="16"/>
      <c r="H16" s="16"/>
      <c r="I16" s="16"/>
      <c r="J16" s="16"/>
      <c r="K16" s="16"/>
      <c r="L16" s="16"/>
      <c r="M16" s="16"/>
      <c r="N16" s="16"/>
      <c r="O16" s="16"/>
      <c r="P16" s="16"/>
      <c r="Q16" s="16"/>
      <c r="R16" s="16"/>
      <c r="S16" s="50"/>
      <c r="T16" s="50"/>
      <c r="U16" s="16"/>
      <c r="V16" s="16"/>
      <c r="W16" s="16"/>
      <c r="X16" s="16"/>
      <c r="Y16" s="16"/>
      <c r="Z16" s="16"/>
      <c r="AA16" s="16"/>
      <c r="AB16" s="16"/>
      <c r="AC16" s="16"/>
      <c r="AD16" s="16"/>
      <c r="AE16" s="16"/>
      <c r="AF16" s="16"/>
      <c r="AG16" s="16"/>
      <c r="AH16" s="50" t="s">
        <v>13</v>
      </c>
      <c r="AI16" s="50">
        <f>SUM(AI5:AI15)</f>
        <v>3609</v>
      </c>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7"/>
      <c r="CA16" s="16"/>
      <c r="CB16" s="16"/>
      <c r="CC16" s="16"/>
      <c r="CD16" s="16"/>
      <c r="CE16" s="16"/>
      <c r="CF16" s="16"/>
      <c r="CG16" s="16"/>
      <c r="CH16" s="16"/>
      <c r="CI16" s="16"/>
      <c r="CJ16" s="16"/>
      <c r="CK16" s="16"/>
      <c r="CL16" s="16"/>
      <c r="CM16" s="16"/>
      <c r="CN16" s="16"/>
      <c r="CO16" s="16"/>
      <c r="CP16" s="16"/>
      <c r="CQ16" s="16"/>
      <c r="CR16" s="16"/>
      <c r="CS16" s="16"/>
      <c r="CT16" s="50" t="s">
        <v>13</v>
      </c>
      <c r="CU16" s="50">
        <f>SUM(CU5:CU15)</f>
        <v>2105</v>
      </c>
      <c r="CV16" s="16"/>
      <c r="CW16" s="16"/>
      <c r="CX16" s="16"/>
      <c r="CY16" s="16"/>
      <c r="CZ16" s="16"/>
      <c r="DA16" s="16"/>
      <c r="DB16" s="16"/>
      <c r="DC16" s="16"/>
      <c r="DD16" s="16"/>
      <c r="DE16" s="16"/>
      <c r="DF16" s="42" t="s">
        <v>217</v>
      </c>
      <c r="DG16" s="42">
        <v>410</v>
      </c>
      <c r="DH16" s="16"/>
      <c r="DI16" s="16"/>
      <c r="DJ16" s="16"/>
      <c r="DK16" s="16"/>
      <c r="DL16" s="16"/>
      <c r="DM16" s="16"/>
      <c r="DN16" s="16"/>
      <c r="DO16" s="16"/>
      <c r="DP16" s="16"/>
      <c r="DR16" s="16"/>
      <c r="DS16" s="16"/>
      <c r="DU16" s="16"/>
      <c r="DV16" s="16"/>
      <c r="DW16" s="1"/>
      <c r="DX16" s="16"/>
      <c r="DY16" s="16"/>
      <c r="DZ16" s="1"/>
      <c r="EA16" s="16"/>
      <c r="EB16" s="16"/>
      <c r="ED16" s="16"/>
      <c r="EE16" s="16"/>
      <c r="EG16" s="16"/>
      <c r="EH16" s="16"/>
      <c r="EJ16" s="16"/>
      <c r="EK16" s="24"/>
      <c r="EL16" s="34"/>
      <c r="EM16" s="24"/>
      <c r="EN16" s="24"/>
      <c r="EO16" s="21"/>
      <c r="EP16" s="24"/>
      <c r="EQ16" s="24"/>
      <c r="ER16" s="24"/>
      <c r="ES16" s="24"/>
      <c r="ET16" s="24"/>
      <c r="EV16" s="24"/>
      <c r="EW16" s="24"/>
      <c r="EY16" s="24"/>
      <c r="EZ16" s="24"/>
      <c r="FA16" s="21"/>
      <c r="FB16" s="24"/>
      <c r="FC16" s="24"/>
      <c r="FE16" s="24"/>
      <c r="FF16" s="24"/>
      <c r="FG16" s="21"/>
      <c r="FH16" s="24"/>
      <c r="FI16" s="24"/>
      <c r="FJ16" s="21"/>
      <c r="FK16" s="24"/>
      <c r="FL16" s="24"/>
      <c r="FM16" s="21"/>
      <c r="FN16" s="24"/>
      <c r="FO16" s="24"/>
      <c r="FQ16" s="24"/>
      <c r="FR16" s="24"/>
      <c r="FT16" s="24"/>
      <c r="FU16" s="24"/>
      <c r="FV16" s="20"/>
      <c r="FW16" s="24"/>
      <c r="FX16" s="24"/>
      <c r="FY16" s="20"/>
      <c r="FZ16" s="24"/>
      <c r="GA16" s="24"/>
      <c r="GB16" s="24"/>
      <c r="GC16" s="24"/>
      <c r="GD16" s="24"/>
      <c r="GE16" s="231"/>
      <c r="GF16" s="24"/>
      <c r="GG16" s="24"/>
      <c r="GH16" s="24"/>
      <c r="GI16" s="24"/>
      <c r="GJ16" s="24"/>
      <c r="GK16" s="24"/>
      <c r="GL16" s="24"/>
      <c r="GM16" s="24"/>
      <c r="GN16" s="24"/>
      <c r="GO16" s="24"/>
      <c r="GP16" s="24"/>
      <c r="GQ16" s="24"/>
      <c r="GR16" s="24"/>
      <c r="GS16" s="24"/>
      <c r="GT16" s="24"/>
      <c r="GU16" s="24"/>
      <c r="GV16" s="24"/>
      <c r="GX16" s="24"/>
      <c r="GY16" s="24"/>
      <c r="HA16" s="24"/>
      <c r="HB16" s="24"/>
      <c r="HD16" s="24"/>
      <c r="HE16" s="24"/>
    </row>
    <row r="17" spans="1:213" ht="14" x14ac:dyDescent="0.3">
      <c r="A17" s="52" t="s">
        <v>218</v>
      </c>
      <c r="B17" s="53">
        <f>B3-B15</f>
        <v>-13</v>
      </c>
      <c r="C17" s="16"/>
      <c r="D17" s="52" t="s">
        <v>218</v>
      </c>
      <c r="E17" s="53">
        <f>E3-E15</f>
        <v>239</v>
      </c>
      <c r="F17" s="16"/>
      <c r="G17" s="52" t="s">
        <v>218</v>
      </c>
      <c r="H17" s="53">
        <f>H3-H15</f>
        <v>390</v>
      </c>
      <c r="I17" s="16"/>
      <c r="J17" s="52" t="s">
        <v>218</v>
      </c>
      <c r="K17" s="53">
        <f>K3-K15</f>
        <v>150</v>
      </c>
      <c r="L17" s="16"/>
      <c r="M17" s="52" t="s">
        <v>218</v>
      </c>
      <c r="N17" s="53">
        <f>N3-N15</f>
        <v>409</v>
      </c>
      <c r="O17" s="16"/>
      <c r="P17" s="52" t="s">
        <v>218</v>
      </c>
      <c r="Q17" s="53">
        <f>Q3-Q15</f>
        <v>710</v>
      </c>
      <c r="R17" s="16"/>
      <c r="S17" s="52" t="s">
        <v>218</v>
      </c>
      <c r="T17" s="53">
        <f>T3-T15</f>
        <v>848</v>
      </c>
      <c r="U17" s="16"/>
      <c r="V17" s="52" t="s">
        <v>218</v>
      </c>
      <c r="W17" s="53">
        <f>W3-W15</f>
        <v>1075</v>
      </c>
      <c r="X17" s="16"/>
      <c r="Y17" s="52" t="s">
        <v>218</v>
      </c>
      <c r="Z17" s="53">
        <f>Z3-Z15</f>
        <v>1450</v>
      </c>
      <c r="AA17" s="16"/>
      <c r="AB17" s="52" t="s">
        <v>218</v>
      </c>
      <c r="AC17" s="53">
        <f>AC3-AC15</f>
        <v>2008</v>
      </c>
      <c r="AD17" s="16"/>
      <c r="AE17" s="52" t="s">
        <v>218</v>
      </c>
      <c r="AF17" s="53">
        <f>AF3-AF15</f>
        <v>2454</v>
      </c>
      <c r="AG17" s="16"/>
      <c r="AH17" s="16"/>
      <c r="AI17" s="16"/>
      <c r="AJ17" s="16"/>
      <c r="AK17" s="52" t="s">
        <v>218</v>
      </c>
      <c r="AL17" s="53">
        <f>AL3-AL15</f>
        <v>1844</v>
      </c>
      <c r="AM17" s="16"/>
      <c r="AN17" s="52" t="s">
        <v>218</v>
      </c>
      <c r="AO17" s="53">
        <f>AO3-AO15</f>
        <v>697</v>
      </c>
      <c r="AP17" s="16"/>
      <c r="AQ17" s="52" t="s">
        <v>218</v>
      </c>
      <c r="AR17" s="53">
        <f>AR3-AR15</f>
        <v>0</v>
      </c>
      <c r="AS17" s="16"/>
      <c r="AT17" s="52" t="s">
        <v>218</v>
      </c>
      <c r="AU17" s="53">
        <f>AU3-AU15</f>
        <v>10</v>
      </c>
      <c r="AV17" s="16"/>
      <c r="AW17" s="52" t="s">
        <v>218</v>
      </c>
      <c r="AX17" s="53">
        <f>AX3-AX15</f>
        <v>245</v>
      </c>
      <c r="AY17" s="16"/>
      <c r="AZ17" s="52" t="s">
        <v>218</v>
      </c>
      <c r="BA17" s="53">
        <f>BA3-BA15</f>
        <v>573</v>
      </c>
      <c r="BB17" s="16"/>
      <c r="BC17" s="52" t="s">
        <v>218</v>
      </c>
      <c r="BD17" s="53">
        <f>BD3-BD15</f>
        <v>11</v>
      </c>
      <c r="BE17" s="16"/>
      <c r="BF17" s="52" t="s">
        <v>218</v>
      </c>
      <c r="BG17" s="53">
        <f>BG3-BG15</f>
        <v>124</v>
      </c>
      <c r="BH17" s="16"/>
      <c r="BI17" s="52" t="s">
        <v>218</v>
      </c>
      <c r="BJ17" s="53">
        <f>BJ3-BJ15</f>
        <v>457</v>
      </c>
      <c r="BK17" s="16"/>
      <c r="BL17" s="52" t="s">
        <v>218</v>
      </c>
      <c r="BM17" s="53">
        <f>BM3-BM15</f>
        <v>1281</v>
      </c>
      <c r="BN17" s="16"/>
      <c r="BO17" s="52" t="s">
        <v>218</v>
      </c>
      <c r="BP17" s="53">
        <f>BP3-BP15</f>
        <v>2161</v>
      </c>
      <c r="BQ17" s="16"/>
      <c r="BR17" s="52" t="s">
        <v>218</v>
      </c>
      <c r="BS17" s="53">
        <f>BS3-BS15</f>
        <v>2654</v>
      </c>
      <c r="BT17" s="16"/>
      <c r="BU17" s="52" t="s">
        <v>218</v>
      </c>
      <c r="BV17" s="53">
        <f>BV3-BV15</f>
        <v>357</v>
      </c>
      <c r="BW17" s="16"/>
      <c r="BX17" s="52" t="s">
        <v>218</v>
      </c>
      <c r="BY17" s="53">
        <f>BY3-BY15</f>
        <v>540</v>
      </c>
      <c r="BZ17" s="54"/>
      <c r="CA17" s="52" t="s">
        <v>218</v>
      </c>
      <c r="CB17" s="53">
        <f>CB3-CB15</f>
        <v>176</v>
      </c>
      <c r="CC17" s="16"/>
      <c r="CD17" s="52" t="s">
        <v>218</v>
      </c>
      <c r="CE17" s="53">
        <f>CE3-CE15</f>
        <v>260</v>
      </c>
      <c r="CF17" s="16"/>
      <c r="CG17" s="52" t="s">
        <v>218</v>
      </c>
      <c r="CH17" s="53">
        <f>CH3-CH15</f>
        <v>953</v>
      </c>
      <c r="CI17" s="16"/>
      <c r="CJ17" s="52" t="s">
        <v>218</v>
      </c>
      <c r="CK17" s="53">
        <f>CK3-CK15</f>
        <v>999</v>
      </c>
      <c r="CL17" s="16"/>
      <c r="CM17" s="52" t="s">
        <v>218</v>
      </c>
      <c r="CN17" s="53">
        <f>CN3-CN15</f>
        <v>109</v>
      </c>
      <c r="CO17" s="16"/>
      <c r="CP17" s="52" t="s">
        <v>218</v>
      </c>
      <c r="CQ17" s="53">
        <f>CQ3-CQ15</f>
        <v>0</v>
      </c>
      <c r="CR17" s="16"/>
      <c r="CS17" s="16"/>
      <c r="CT17" s="16"/>
      <c r="CU17" s="16"/>
      <c r="CV17" s="16"/>
      <c r="CW17" s="16" t="s">
        <v>218</v>
      </c>
      <c r="CX17" s="55">
        <f>CX3-CX15</f>
        <v>107</v>
      </c>
      <c r="CY17" s="16"/>
      <c r="CZ17" s="16" t="s">
        <v>218</v>
      </c>
      <c r="DA17" s="55">
        <f>DA3-DA15</f>
        <v>465</v>
      </c>
      <c r="DB17" s="16"/>
      <c r="DC17" s="16" t="s">
        <v>218</v>
      </c>
      <c r="DD17" s="55">
        <f>DD3-DD15</f>
        <v>138</v>
      </c>
      <c r="DE17" s="16"/>
      <c r="DF17" s="28" t="s">
        <v>100</v>
      </c>
      <c r="DG17" s="28">
        <v>18</v>
      </c>
      <c r="DH17" s="16"/>
      <c r="DI17" s="16" t="s">
        <v>218</v>
      </c>
      <c r="DJ17" s="55">
        <f>DJ3-DJ15</f>
        <v>947</v>
      </c>
      <c r="DK17" s="16"/>
      <c r="DL17" s="16" t="s">
        <v>218</v>
      </c>
      <c r="DM17" s="55">
        <f>DM3-DM15</f>
        <v>1325</v>
      </c>
      <c r="DN17" s="16"/>
      <c r="DO17" s="16" t="s">
        <v>218</v>
      </c>
      <c r="DP17" s="55">
        <f>DP3-DP15</f>
        <v>264</v>
      </c>
      <c r="DR17" s="16" t="s">
        <v>218</v>
      </c>
      <c r="DS17" s="55">
        <f>DS3-DS15</f>
        <v>112</v>
      </c>
      <c r="DU17" s="16" t="s">
        <v>218</v>
      </c>
      <c r="DV17" s="55">
        <f>DV3-DV15</f>
        <v>5</v>
      </c>
      <c r="DW17" s="1"/>
      <c r="DX17" s="16" t="s">
        <v>218</v>
      </c>
      <c r="DY17" s="55">
        <f>DY3-DY15</f>
        <v>0</v>
      </c>
      <c r="EA17" s="16" t="s">
        <v>218</v>
      </c>
      <c r="EB17" s="55">
        <f>EB3-EB15</f>
        <v>13</v>
      </c>
      <c r="ED17" s="16" t="s">
        <v>218</v>
      </c>
      <c r="EE17" s="55">
        <f>EE3-EE15</f>
        <v>17</v>
      </c>
      <c r="EG17" s="16" t="s">
        <v>218</v>
      </c>
      <c r="EH17" s="55">
        <f>EH3-EH15</f>
        <v>46</v>
      </c>
      <c r="EJ17" s="16" t="s">
        <v>218</v>
      </c>
      <c r="EK17" s="56">
        <f>EK3-EK15</f>
        <v>0</v>
      </c>
      <c r="EL17" s="34"/>
      <c r="EM17" s="24" t="s">
        <v>218</v>
      </c>
      <c r="EN17" s="56">
        <f>EN3-EN15</f>
        <v>0</v>
      </c>
      <c r="EO17" s="21"/>
      <c r="EP17" s="24" t="s">
        <v>218</v>
      </c>
      <c r="EQ17" s="56">
        <f>EQ3-EQ15</f>
        <v>6</v>
      </c>
      <c r="ER17" s="56"/>
      <c r="ES17" s="24" t="s">
        <v>218</v>
      </c>
      <c r="ET17" s="56">
        <f>ET3-ET15</f>
        <v>92</v>
      </c>
      <c r="EV17" s="24" t="s">
        <v>218</v>
      </c>
      <c r="EW17" s="56">
        <f>EW3-EW15</f>
        <v>3</v>
      </c>
      <c r="EX17" s="21"/>
      <c r="EY17" s="24" t="s">
        <v>218</v>
      </c>
      <c r="EZ17" s="56">
        <f>EZ3-EZ15</f>
        <v>109</v>
      </c>
      <c r="FA17" s="21"/>
      <c r="FB17" s="24" t="s">
        <v>218</v>
      </c>
      <c r="FC17" s="56">
        <f>FC3-FC15</f>
        <v>1262</v>
      </c>
      <c r="FD17" s="1"/>
      <c r="FE17" s="24" t="s">
        <v>218</v>
      </c>
      <c r="FF17" s="56">
        <f>FF3-FF15</f>
        <v>123</v>
      </c>
      <c r="FG17" s="1"/>
      <c r="FH17" s="24" t="s">
        <v>218</v>
      </c>
      <c r="FI17" s="56">
        <f>FI3-FI15</f>
        <v>780</v>
      </c>
      <c r="FK17" s="24" t="s">
        <v>218</v>
      </c>
      <c r="FL17" s="56">
        <f>FL3-FL15</f>
        <v>566</v>
      </c>
      <c r="FN17" s="24" t="s">
        <v>218</v>
      </c>
      <c r="FO17" s="56">
        <f>FO3-FO15</f>
        <v>2017</v>
      </c>
      <c r="FP17" s="57"/>
      <c r="FQ17" s="24" t="s">
        <v>218</v>
      </c>
      <c r="FR17" s="56">
        <f>FR3-FR15</f>
        <v>1577</v>
      </c>
      <c r="FT17" s="24" t="s">
        <v>218</v>
      </c>
      <c r="FU17" s="56">
        <f>FU3-FU15</f>
        <v>6</v>
      </c>
      <c r="FV17" s="22"/>
      <c r="FW17" s="24" t="s">
        <v>218</v>
      </c>
      <c r="FX17" s="56">
        <f>FX3-FX15</f>
        <v>4287</v>
      </c>
      <c r="FY17" s="186"/>
      <c r="FZ17" s="24" t="s">
        <v>218</v>
      </c>
      <c r="GA17" s="56">
        <f>GA3-GA15</f>
        <v>1776</v>
      </c>
      <c r="GB17" s="56"/>
      <c r="GC17" s="24" t="s">
        <v>218</v>
      </c>
      <c r="GD17" s="56">
        <f>GD3-GD15</f>
        <v>1956</v>
      </c>
      <c r="GE17" s="234"/>
      <c r="GF17" s="24" t="s">
        <v>218</v>
      </c>
      <c r="GG17" s="56">
        <f>GG3-GG15</f>
        <v>3871</v>
      </c>
      <c r="GH17" s="234"/>
      <c r="GI17" s="24" t="s">
        <v>218</v>
      </c>
      <c r="GJ17" s="56">
        <f>GJ3-GJ15</f>
        <v>7185</v>
      </c>
      <c r="GK17" s="56"/>
      <c r="GL17" s="24" t="s">
        <v>218</v>
      </c>
      <c r="GM17" s="56">
        <f>GM3-GM15</f>
        <v>13193</v>
      </c>
      <c r="GN17" s="56"/>
      <c r="GO17" s="24" t="s">
        <v>218</v>
      </c>
      <c r="GP17" s="56">
        <f>GP3-GP15</f>
        <v>16608</v>
      </c>
      <c r="GQ17" s="56"/>
      <c r="GR17" s="24" t="s">
        <v>218</v>
      </c>
      <c r="GS17" s="56">
        <f>GS3-GS15</f>
        <v>20023</v>
      </c>
      <c r="GT17" s="56"/>
      <c r="GU17" s="24" t="s">
        <v>218</v>
      </c>
      <c r="GV17" s="56">
        <f>GV3-GV15</f>
        <v>23438</v>
      </c>
      <c r="GX17" s="24" t="s">
        <v>218</v>
      </c>
      <c r="GY17" s="56">
        <f>GY3-GY15</f>
        <v>26853</v>
      </c>
      <c r="HA17" s="24" t="s">
        <v>218</v>
      </c>
      <c r="HB17" s="56">
        <f>HB3-HB15</f>
        <v>30268</v>
      </c>
      <c r="HD17" s="24" t="s">
        <v>218</v>
      </c>
      <c r="HE17" s="56">
        <f>HE3-HE15</f>
        <v>36287</v>
      </c>
    </row>
    <row r="18" spans="1:213" ht="14" x14ac:dyDescent="0.3">
      <c r="A18" s="16"/>
      <c r="B18" s="16"/>
      <c r="C18" s="16"/>
      <c r="D18" s="16"/>
      <c r="E18" s="16"/>
      <c r="F18" s="16"/>
      <c r="G18" s="16"/>
      <c r="H18" s="16"/>
      <c r="I18" s="16"/>
      <c r="J18" s="16"/>
      <c r="K18" s="16"/>
      <c r="L18" s="16"/>
      <c r="M18" s="16"/>
      <c r="N18" s="16"/>
      <c r="O18" s="16"/>
      <c r="P18" s="55"/>
      <c r="Q18" s="55"/>
      <c r="R18" s="16"/>
      <c r="S18" s="58"/>
      <c r="T18" s="58"/>
      <c r="U18" s="16"/>
      <c r="V18" s="16"/>
      <c r="W18" s="16"/>
      <c r="X18" s="16"/>
      <c r="Y18" s="16"/>
      <c r="Z18" s="16"/>
      <c r="AA18" s="16"/>
      <c r="AB18" s="16"/>
      <c r="AC18" s="16"/>
      <c r="AD18" s="16"/>
      <c r="AE18" s="16"/>
      <c r="AF18" s="16"/>
      <c r="AG18" s="16"/>
      <c r="AH18" s="52" t="s">
        <v>218</v>
      </c>
      <c r="AI18" s="53">
        <f>AI3-AI16</f>
        <v>1329</v>
      </c>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54"/>
      <c r="CA18" s="16"/>
      <c r="CB18" s="16"/>
      <c r="CC18" s="16"/>
      <c r="CD18" s="16"/>
      <c r="CE18" s="16"/>
      <c r="CF18" s="16"/>
      <c r="CG18" s="16"/>
      <c r="CH18" s="16"/>
      <c r="CI18" s="16"/>
      <c r="CJ18" s="16"/>
      <c r="CK18" s="16"/>
      <c r="CL18" s="16"/>
      <c r="CM18" s="16"/>
      <c r="CN18" s="16"/>
      <c r="CO18" s="16"/>
      <c r="CP18" s="16"/>
      <c r="CQ18" s="16"/>
      <c r="CR18" s="16"/>
      <c r="CS18" s="16"/>
      <c r="CT18" s="16" t="s">
        <v>218</v>
      </c>
      <c r="CU18" s="55">
        <f>CU3-CU16</f>
        <v>0</v>
      </c>
      <c r="CV18" s="16"/>
      <c r="CW18" s="16"/>
      <c r="CX18" s="16"/>
      <c r="CY18" s="16"/>
      <c r="CZ18" s="16"/>
      <c r="DA18" s="16"/>
      <c r="DB18" s="16"/>
      <c r="DC18" s="16"/>
      <c r="DD18" s="16"/>
      <c r="DE18" s="16"/>
      <c r="DF18" s="50" t="s">
        <v>13</v>
      </c>
      <c r="DG18" s="50">
        <f>SUM(DG6:DG17)</f>
        <v>2922</v>
      </c>
      <c r="DH18" s="16"/>
      <c r="DI18" s="16"/>
      <c r="DJ18" s="16"/>
      <c r="DK18" s="16"/>
      <c r="DL18" s="16"/>
      <c r="DM18" s="16"/>
      <c r="DN18" s="16"/>
      <c r="DO18" s="16"/>
      <c r="DP18" s="16"/>
      <c r="DR18" s="16"/>
      <c r="DS18" s="16"/>
      <c r="DU18" s="16"/>
      <c r="DV18" s="16"/>
      <c r="DW18" s="1"/>
      <c r="DX18" s="16"/>
      <c r="DY18" s="16"/>
      <c r="EA18" s="16"/>
      <c r="EB18" s="16"/>
      <c r="ED18" s="16"/>
      <c r="EE18" s="16"/>
      <c r="EG18" s="16"/>
      <c r="EH18" s="16"/>
      <c r="EJ18" s="16"/>
      <c r="EK18" s="16"/>
      <c r="EL18" s="15"/>
      <c r="EM18" s="16"/>
      <c r="EN18" s="16"/>
      <c r="EP18" s="16"/>
      <c r="EQ18" s="16"/>
      <c r="ER18" s="24"/>
      <c r="ES18" s="16"/>
      <c r="ET18" s="16"/>
      <c r="EV18" s="16"/>
      <c r="EW18" s="16"/>
      <c r="EY18" s="16"/>
      <c r="EZ18" s="16"/>
      <c r="FA18" s="21"/>
      <c r="FB18" s="16"/>
      <c r="FC18" s="16"/>
      <c r="FD18" s="1"/>
      <c r="FL18" s="21"/>
      <c r="FM18" s="21"/>
      <c r="FQ18" s="1"/>
      <c r="FR18" s="1"/>
      <c r="FT18" s="1"/>
      <c r="FU18" s="1"/>
      <c r="FV18" s="20"/>
      <c r="FW18" s="1"/>
      <c r="FX18" s="1"/>
      <c r="FY18" s="20"/>
      <c r="FZ18" s="1"/>
      <c r="GA18" s="1"/>
      <c r="GB18" s="1"/>
      <c r="GC18" s="1"/>
      <c r="GD18" s="1"/>
      <c r="GE18" s="34"/>
      <c r="GF18" s="1"/>
      <c r="GG18" s="1"/>
      <c r="GH18" s="15"/>
      <c r="GI18" s="1"/>
      <c r="GJ18" s="1"/>
      <c r="GK18" s="1"/>
      <c r="GL18" s="1"/>
      <c r="GM18" s="1"/>
      <c r="GN18" s="1"/>
      <c r="GO18" s="1"/>
      <c r="GP18" s="1"/>
      <c r="GQ18" s="1"/>
      <c r="GR18" s="1"/>
      <c r="GS18" s="1"/>
      <c r="GT18" s="1"/>
      <c r="GU18" s="1"/>
      <c r="GV18" s="1"/>
      <c r="GX18" s="1"/>
      <c r="GY18" s="1"/>
      <c r="HA18" s="1"/>
      <c r="HB18" s="1"/>
      <c r="HD18" s="1"/>
      <c r="HE18" s="1"/>
    </row>
    <row r="19" spans="1:213" ht="14" x14ac:dyDescent="0.3">
      <c r="A19" s="16"/>
      <c r="B19" s="16"/>
      <c r="C19" s="16"/>
      <c r="D19" s="16"/>
      <c r="E19" s="16"/>
      <c r="F19" s="16"/>
      <c r="G19" s="16"/>
      <c r="H19" s="16"/>
      <c r="I19" s="16"/>
      <c r="J19" s="16"/>
      <c r="K19" s="16"/>
      <c r="L19" s="16"/>
      <c r="M19" s="16"/>
      <c r="N19" s="16"/>
      <c r="O19" s="16"/>
      <c r="P19" s="16"/>
      <c r="Q19" s="16"/>
      <c r="R19" s="16"/>
      <c r="S19" s="25">
        <v>70</v>
      </c>
      <c r="T19" s="25" t="s">
        <v>219</v>
      </c>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25" t="s">
        <v>220</v>
      </c>
      <c r="BJ19" s="44">
        <v>62</v>
      </c>
      <c r="BK19" s="16"/>
      <c r="BL19" s="16"/>
      <c r="BM19" s="16"/>
      <c r="BN19" s="16"/>
      <c r="BO19" s="25" t="s">
        <v>220</v>
      </c>
      <c r="BP19" s="44">
        <v>53</v>
      </c>
      <c r="BQ19" s="16"/>
      <c r="BR19" s="16"/>
      <c r="BS19" s="16"/>
      <c r="BT19" s="16"/>
      <c r="BU19" s="25" t="s">
        <v>220</v>
      </c>
      <c r="BV19" s="44">
        <v>49</v>
      </c>
      <c r="BW19" s="47"/>
      <c r="BX19" s="16"/>
      <c r="BY19" s="47"/>
      <c r="BZ19" s="17"/>
      <c r="CA19" s="25" t="s">
        <v>220</v>
      </c>
      <c r="CB19" s="44">
        <v>55</v>
      </c>
      <c r="CC19" s="16"/>
      <c r="CD19" s="16"/>
      <c r="CE19" s="47"/>
      <c r="CF19" s="16"/>
      <c r="CG19" s="25" t="s">
        <v>220</v>
      </c>
      <c r="CH19" s="44">
        <v>55</v>
      </c>
      <c r="CI19" s="16"/>
      <c r="CJ19" s="16"/>
      <c r="CK19" s="47"/>
      <c r="CL19" s="16"/>
      <c r="CM19" s="25" t="s">
        <v>220</v>
      </c>
      <c r="CN19" s="44">
        <v>49</v>
      </c>
      <c r="CO19" s="16"/>
      <c r="CP19" s="25" t="s">
        <v>220</v>
      </c>
      <c r="CQ19" s="44">
        <v>57</v>
      </c>
      <c r="CR19" s="16"/>
      <c r="CS19" s="16"/>
      <c r="CT19" s="16"/>
      <c r="CU19" s="16"/>
      <c r="CV19" s="16"/>
      <c r="CW19" s="16"/>
      <c r="CX19" s="47"/>
      <c r="CY19" s="16"/>
      <c r="CZ19" s="16"/>
      <c r="DA19" s="47"/>
      <c r="DB19" s="16"/>
      <c r="DC19" s="16"/>
      <c r="DD19" s="47"/>
      <c r="DE19" s="16"/>
      <c r="DF19" s="16"/>
      <c r="DG19" s="16"/>
      <c r="DH19" s="16"/>
      <c r="DI19" s="16"/>
      <c r="DJ19" s="47"/>
      <c r="DK19" s="16"/>
      <c r="DL19" s="16"/>
      <c r="DM19" s="47"/>
      <c r="DN19" s="16"/>
      <c r="DO19" s="16"/>
      <c r="DP19" s="47"/>
      <c r="DR19" s="16"/>
      <c r="DS19" s="47"/>
      <c r="DU19" s="16"/>
      <c r="DV19" s="47"/>
      <c r="DW19" s="1"/>
      <c r="DX19" s="16"/>
      <c r="DY19" s="47"/>
      <c r="EA19" s="16"/>
      <c r="EB19" s="47"/>
      <c r="ED19" s="16"/>
      <c r="EE19" s="47"/>
      <c r="EG19" s="16"/>
      <c r="EH19" s="47"/>
      <c r="EJ19" s="16"/>
      <c r="EK19" s="47"/>
      <c r="EL19" s="34"/>
      <c r="EM19" s="16"/>
      <c r="EN19" s="47"/>
      <c r="EP19" s="16"/>
      <c r="EQ19" s="47"/>
      <c r="ER19" s="59"/>
      <c r="ES19" s="16"/>
      <c r="ET19" s="47"/>
      <c r="EV19" s="16"/>
      <c r="EW19" s="47"/>
      <c r="EY19" s="16"/>
      <c r="EZ19" s="47"/>
      <c r="FA19" s="21"/>
      <c r="FB19" s="16"/>
      <c r="FC19" s="47"/>
      <c r="FD19" s="1"/>
      <c r="FQ19" s="1"/>
      <c r="FR19" s="1"/>
      <c r="FT19" s="1"/>
      <c r="FU19" s="1"/>
      <c r="FV19" s="22"/>
      <c r="FW19" s="1"/>
      <c r="FX19" s="1"/>
      <c r="FY19" s="186"/>
      <c r="FZ19" s="21"/>
      <c r="GA19" s="21"/>
      <c r="GB19" s="1"/>
      <c r="GC19" s="1"/>
      <c r="GD19" s="1"/>
      <c r="GE19" s="34"/>
      <c r="GF19" s="1"/>
      <c r="GG19" s="1"/>
      <c r="GH19" s="34"/>
      <c r="GI19" s="1"/>
      <c r="GJ19" s="1"/>
      <c r="GK19" s="1"/>
      <c r="GL19" s="1"/>
      <c r="GM19" s="1"/>
      <c r="GN19" s="1"/>
      <c r="GO19" s="1"/>
      <c r="GP19" s="1"/>
      <c r="GQ19" s="1"/>
      <c r="GR19" s="1"/>
      <c r="GS19" s="1"/>
      <c r="GT19" s="1"/>
      <c r="GU19" s="1"/>
      <c r="GV19" s="1"/>
      <c r="GX19" s="1"/>
      <c r="GY19" s="1"/>
      <c r="HA19" s="1"/>
      <c r="HB19" s="1"/>
      <c r="HD19" s="1"/>
      <c r="HE19" s="1"/>
    </row>
    <row r="20" spans="1:213" ht="15.75" customHeight="1" x14ac:dyDescent="0.3">
      <c r="A20" s="16">
        <v>2500000</v>
      </c>
      <c r="B20" s="16">
        <f>A20*0.4</f>
        <v>1000000</v>
      </c>
      <c r="C20" s="23">
        <f>B20*0.16</f>
        <v>160000</v>
      </c>
      <c r="D20" s="16"/>
      <c r="E20" s="16"/>
      <c r="F20" s="16"/>
      <c r="G20" s="16"/>
      <c r="H20" s="16"/>
      <c r="I20" s="16"/>
      <c r="J20" s="16"/>
      <c r="K20" s="16"/>
      <c r="L20" s="16"/>
      <c r="M20" s="16"/>
      <c r="N20" s="16"/>
      <c r="O20" s="29" t="s">
        <v>182</v>
      </c>
      <c r="P20" s="25" t="s">
        <v>220</v>
      </c>
      <c r="Q20" s="25">
        <v>43</v>
      </c>
      <c r="R20" s="29" t="s">
        <v>96</v>
      </c>
      <c r="S20" s="25">
        <v>57</v>
      </c>
      <c r="T20" s="25" t="s">
        <v>221</v>
      </c>
      <c r="U20" s="16"/>
      <c r="V20" s="25" t="s">
        <v>220</v>
      </c>
      <c r="W20" s="44">
        <v>42</v>
      </c>
      <c r="X20" s="16"/>
      <c r="Y20" s="25" t="s">
        <v>220</v>
      </c>
      <c r="Z20" s="44">
        <v>42</v>
      </c>
      <c r="AA20" s="16"/>
      <c r="AB20" s="25" t="s">
        <v>220</v>
      </c>
      <c r="AC20" s="44">
        <v>43</v>
      </c>
      <c r="AD20" s="16"/>
      <c r="AE20" s="25" t="s">
        <v>220</v>
      </c>
      <c r="AF20" s="44">
        <v>41</v>
      </c>
      <c r="AG20" s="16"/>
      <c r="AH20" s="16"/>
      <c r="AI20" s="16"/>
      <c r="AJ20" s="16"/>
      <c r="AK20" s="25" t="s">
        <v>220</v>
      </c>
      <c r="AL20" s="44">
        <v>74</v>
      </c>
      <c r="AM20" s="16"/>
      <c r="AN20" s="25" t="s">
        <v>220</v>
      </c>
      <c r="AO20" s="44">
        <v>44</v>
      </c>
      <c r="AP20" s="16"/>
      <c r="AQ20" s="25" t="s">
        <v>220</v>
      </c>
      <c r="AR20" s="44">
        <v>38</v>
      </c>
      <c r="AS20" s="16"/>
      <c r="AT20" s="25" t="s">
        <v>220</v>
      </c>
      <c r="AU20" s="44">
        <v>40</v>
      </c>
      <c r="AV20" s="16"/>
      <c r="AW20" s="16"/>
      <c r="AX20" s="47"/>
      <c r="AY20" s="16"/>
      <c r="AZ20" s="25" t="s">
        <v>220</v>
      </c>
      <c r="BA20" s="44">
        <v>58</v>
      </c>
      <c r="BB20" s="16"/>
      <c r="BC20" s="25" t="s">
        <v>220</v>
      </c>
      <c r="BD20" s="44">
        <v>59</v>
      </c>
      <c r="BE20" s="16"/>
      <c r="BF20" s="25" t="s">
        <v>220</v>
      </c>
      <c r="BG20" s="44">
        <v>54</v>
      </c>
      <c r="BH20" s="16"/>
      <c r="BI20" s="25" t="s">
        <v>222</v>
      </c>
      <c r="BJ20" s="44">
        <v>13</v>
      </c>
      <c r="BK20" s="16"/>
      <c r="BL20" s="25" t="s">
        <v>220</v>
      </c>
      <c r="BM20" s="44">
        <v>58</v>
      </c>
      <c r="BN20" s="16"/>
      <c r="BO20" s="25" t="s">
        <v>222</v>
      </c>
      <c r="BP20" s="44">
        <v>13</v>
      </c>
      <c r="BQ20" s="16"/>
      <c r="BR20" s="25" t="s">
        <v>220</v>
      </c>
      <c r="BS20" s="44">
        <v>52</v>
      </c>
      <c r="BT20" s="16"/>
      <c r="BU20" s="25" t="s">
        <v>222</v>
      </c>
      <c r="BV20" s="44">
        <v>9</v>
      </c>
      <c r="BW20" s="47"/>
      <c r="BX20" s="25" t="s">
        <v>220</v>
      </c>
      <c r="BY20" s="44">
        <v>61</v>
      </c>
      <c r="BZ20" s="16"/>
      <c r="CA20" s="25" t="s">
        <v>222</v>
      </c>
      <c r="CB20" s="44">
        <v>12</v>
      </c>
      <c r="CC20" s="16"/>
      <c r="CD20" s="25" t="s">
        <v>220</v>
      </c>
      <c r="CE20" s="44">
        <v>48</v>
      </c>
      <c r="CF20" s="16"/>
      <c r="CG20" s="25" t="s">
        <v>222</v>
      </c>
      <c r="CH20" s="44">
        <v>14</v>
      </c>
      <c r="CI20" s="16"/>
      <c r="CJ20" s="25" t="s">
        <v>220</v>
      </c>
      <c r="CK20" s="44">
        <v>46</v>
      </c>
      <c r="CL20" s="16"/>
      <c r="CM20" s="25" t="s">
        <v>222</v>
      </c>
      <c r="CN20" s="44">
        <v>15</v>
      </c>
      <c r="CO20" s="16"/>
      <c r="CP20" s="25" t="s">
        <v>222</v>
      </c>
      <c r="CQ20" s="44">
        <v>13</v>
      </c>
      <c r="CR20" s="16"/>
      <c r="CS20" s="16"/>
      <c r="CT20" s="16"/>
      <c r="CU20" s="47"/>
      <c r="CV20" s="16"/>
      <c r="CW20" s="16" t="s">
        <v>111</v>
      </c>
      <c r="CX20" s="47"/>
      <c r="CY20" s="16"/>
      <c r="CZ20" s="16" t="s">
        <v>111</v>
      </c>
      <c r="DA20" s="47"/>
      <c r="DB20" s="16"/>
      <c r="DC20" s="16" t="s">
        <v>111</v>
      </c>
      <c r="DD20" s="47"/>
      <c r="DE20" s="16"/>
      <c r="DF20" s="16" t="s">
        <v>218</v>
      </c>
      <c r="DG20" s="55">
        <f>DG3-DG18</f>
        <v>15</v>
      </c>
      <c r="DH20" s="16"/>
      <c r="DI20" s="16" t="s">
        <v>111</v>
      </c>
      <c r="DJ20" s="47"/>
      <c r="DK20" s="16"/>
      <c r="DL20" s="16" t="s">
        <v>111</v>
      </c>
      <c r="DM20" s="47"/>
      <c r="DN20" s="16"/>
      <c r="DO20" s="16" t="s">
        <v>111</v>
      </c>
      <c r="DP20" s="47"/>
      <c r="DR20" s="16" t="s">
        <v>111</v>
      </c>
      <c r="DS20" s="47"/>
      <c r="DU20" s="16" t="s">
        <v>111</v>
      </c>
      <c r="DV20" s="47"/>
      <c r="DW20" s="1"/>
      <c r="DX20" s="16" t="s">
        <v>111</v>
      </c>
      <c r="DY20" s="47"/>
      <c r="EA20" s="16" t="s">
        <v>111</v>
      </c>
      <c r="EB20" s="47"/>
      <c r="ED20" s="16" t="s">
        <v>111</v>
      </c>
      <c r="EE20" s="47"/>
      <c r="EG20" s="16" t="s">
        <v>111</v>
      </c>
      <c r="EH20" s="47"/>
      <c r="EI20" s="1"/>
      <c r="EJ20" s="16" t="s">
        <v>111</v>
      </c>
      <c r="EK20" s="47"/>
      <c r="EL20" s="15"/>
      <c r="EM20" s="16" t="s">
        <v>111</v>
      </c>
      <c r="EN20" s="47"/>
      <c r="EP20" s="16" t="s">
        <v>111</v>
      </c>
      <c r="EQ20" s="47"/>
      <c r="ER20" s="47"/>
      <c r="ES20" s="16" t="s">
        <v>111</v>
      </c>
      <c r="ET20" s="47"/>
      <c r="EV20" s="16" t="s">
        <v>111</v>
      </c>
      <c r="EW20" s="47"/>
      <c r="EY20" s="16" t="s">
        <v>111</v>
      </c>
      <c r="EZ20" s="47"/>
      <c r="FB20" s="16" t="s">
        <v>111</v>
      </c>
      <c r="FC20" s="47"/>
      <c r="FD20" s="1"/>
      <c r="FE20" s="16" t="s">
        <v>111</v>
      </c>
      <c r="FF20" s="47"/>
      <c r="FH20" s="16" t="s">
        <v>111</v>
      </c>
      <c r="FI20" s="47"/>
      <c r="FJ20" s="21"/>
      <c r="FK20" s="16" t="s">
        <v>111</v>
      </c>
      <c r="FL20" s="47"/>
      <c r="FM20" s="21"/>
      <c r="FN20" s="16" t="s">
        <v>111</v>
      </c>
      <c r="FO20" s="47"/>
      <c r="FQ20" s="16" t="s">
        <v>111</v>
      </c>
      <c r="FR20" s="47"/>
      <c r="FT20" s="16" t="s">
        <v>111</v>
      </c>
      <c r="FU20" s="47"/>
      <c r="FV20" s="22"/>
      <c r="FW20" s="16" t="s">
        <v>111</v>
      </c>
      <c r="FX20" s="47"/>
      <c r="FY20" s="186"/>
      <c r="FZ20" s="16" t="s">
        <v>111</v>
      </c>
      <c r="GA20" s="47"/>
      <c r="GB20" s="47"/>
      <c r="GC20" s="16" t="s">
        <v>111</v>
      </c>
      <c r="GD20" s="47"/>
      <c r="GE20" s="238"/>
      <c r="GF20" s="16" t="s">
        <v>111</v>
      </c>
      <c r="GG20" s="47"/>
      <c r="GH20" s="238"/>
      <c r="GI20" s="16" t="s">
        <v>111</v>
      </c>
      <c r="GJ20" s="47"/>
      <c r="GK20" s="47"/>
      <c r="GL20" s="16" t="s">
        <v>111</v>
      </c>
      <c r="GM20" s="47"/>
      <c r="GN20" s="47"/>
      <c r="GO20" s="16" t="s">
        <v>111</v>
      </c>
      <c r="GP20" s="47"/>
      <c r="GQ20" s="47"/>
      <c r="GR20" s="16" t="s">
        <v>111</v>
      </c>
      <c r="GS20" s="47"/>
      <c r="GT20" s="47"/>
      <c r="GU20" s="16" t="s">
        <v>111</v>
      </c>
      <c r="GV20" s="47"/>
      <c r="GX20" s="16" t="s">
        <v>111</v>
      </c>
      <c r="GY20" s="47"/>
      <c r="HA20" s="16" t="s">
        <v>111</v>
      </c>
      <c r="HB20" s="47"/>
      <c r="HD20" s="16" t="s">
        <v>111</v>
      </c>
      <c r="HE20" s="47"/>
    </row>
    <row r="21" spans="1:213" ht="15.75" customHeight="1" x14ac:dyDescent="0.3">
      <c r="A21" s="16"/>
      <c r="B21" s="16"/>
      <c r="C21" s="23">
        <f>B20*0.125</f>
        <v>125000</v>
      </c>
      <c r="D21" s="16"/>
      <c r="E21" s="16"/>
      <c r="F21" s="16"/>
      <c r="G21" s="16"/>
      <c r="H21" s="16"/>
      <c r="I21" s="16"/>
      <c r="J21" s="16"/>
      <c r="K21" s="16"/>
      <c r="L21" s="16"/>
      <c r="M21" s="16"/>
      <c r="N21" s="16"/>
      <c r="O21" s="29" t="s">
        <v>182</v>
      </c>
      <c r="P21" s="25" t="s">
        <v>222</v>
      </c>
      <c r="Q21" s="25">
        <v>22</v>
      </c>
      <c r="R21" s="16"/>
      <c r="S21" s="16"/>
      <c r="T21" s="16"/>
      <c r="U21" s="16"/>
      <c r="V21" s="25" t="s">
        <v>222</v>
      </c>
      <c r="W21" s="44">
        <v>11</v>
      </c>
      <c r="X21" s="16"/>
      <c r="Y21" s="25" t="s">
        <v>222</v>
      </c>
      <c r="Z21" s="44">
        <v>12</v>
      </c>
      <c r="AA21" s="16"/>
      <c r="AB21" s="25" t="s">
        <v>222</v>
      </c>
      <c r="AC21" s="44">
        <v>21</v>
      </c>
      <c r="AD21" s="16"/>
      <c r="AE21" s="25" t="s">
        <v>222</v>
      </c>
      <c r="AF21" s="44">
        <v>21</v>
      </c>
      <c r="AG21" s="16"/>
      <c r="AH21" s="25" t="s">
        <v>220</v>
      </c>
      <c r="AI21" s="44">
        <v>47</v>
      </c>
      <c r="AJ21" s="16"/>
      <c r="AK21" s="25" t="s">
        <v>222</v>
      </c>
      <c r="AL21" s="44">
        <v>19</v>
      </c>
      <c r="AM21" s="16"/>
      <c r="AN21" s="25" t="s">
        <v>222</v>
      </c>
      <c r="AO21" s="44">
        <v>21</v>
      </c>
      <c r="AP21" s="16"/>
      <c r="AQ21" s="25" t="s">
        <v>222</v>
      </c>
      <c r="AR21" s="44">
        <v>21</v>
      </c>
      <c r="AS21" s="16"/>
      <c r="AT21" s="25" t="s">
        <v>222</v>
      </c>
      <c r="AU21" s="44">
        <v>16</v>
      </c>
      <c r="AV21" s="16"/>
      <c r="AW21" s="25" t="s">
        <v>222</v>
      </c>
      <c r="AX21" s="44">
        <v>14</v>
      </c>
      <c r="AY21" s="16"/>
      <c r="AZ21" s="25" t="s">
        <v>222</v>
      </c>
      <c r="BA21" s="44">
        <v>15</v>
      </c>
      <c r="BB21" s="16"/>
      <c r="BC21" s="25" t="s">
        <v>222</v>
      </c>
      <c r="BD21" s="44">
        <v>13</v>
      </c>
      <c r="BE21" s="16"/>
      <c r="BF21" s="25" t="s">
        <v>222</v>
      </c>
      <c r="BG21" s="44">
        <v>12</v>
      </c>
      <c r="BH21" s="16"/>
      <c r="BI21" s="25" t="s">
        <v>120</v>
      </c>
      <c r="BJ21" s="44">
        <v>106</v>
      </c>
      <c r="BK21" s="16"/>
      <c r="BL21" s="25" t="s">
        <v>222</v>
      </c>
      <c r="BM21" s="44">
        <v>13</v>
      </c>
      <c r="BN21" s="16"/>
      <c r="BO21" s="25" t="s">
        <v>120</v>
      </c>
      <c r="BP21" s="44">
        <v>106</v>
      </c>
      <c r="BQ21" s="16"/>
      <c r="BR21" s="25" t="s">
        <v>222</v>
      </c>
      <c r="BS21" s="44">
        <v>13</v>
      </c>
      <c r="BT21" s="16"/>
      <c r="BU21" s="25" t="s">
        <v>120</v>
      </c>
      <c r="BV21" s="44"/>
      <c r="BW21" s="47"/>
      <c r="BX21" s="25" t="s">
        <v>222</v>
      </c>
      <c r="BY21" s="44">
        <v>10</v>
      </c>
      <c r="BZ21" s="16"/>
      <c r="CA21" s="25" t="s">
        <v>120</v>
      </c>
      <c r="CB21" s="44"/>
      <c r="CC21" s="16"/>
      <c r="CD21" s="25" t="s">
        <v>222</v>
      </c>
      <c r="CE21" s="44">
        <v>11</v>
      </c>
      <c r="CF21" s="16"/>
      <c r="CG21" s="25" t="s">
        <v>120</v>
      </c>
      <c r="CH21" s="44"/>
      <c r="CI21" s="16"/>
      <c r="CJ21" s="25" t="s">
        <v>222</v>
      </c>
      <c r="CK21" s="44">
        <v>12</v>
      </c>
      <c r="CL21" s="16"/>
      <c r="CM21" s="25" t="s">
        <v>120</v>
      </c>
      <c r="CN21" s="44"/>
      <c r="CO21" s="16"/>
      <c r="CP21" s="16" t="s">
        <v>120</v>
      </c>
      <c r="CQ21" s="47"/>
      <c r="CR21" s="16"/>
      <c r="CS21" s="16"/>
      <c r="CT21" s="16"/>
      <c r="CU21" s="47"/>
      <c r="CV21" s="16"/>
      <c r="CW21" s="28" t="s">
        <v>223</v>
      </c>
      <c r="CX21" s="28">
        <v>48</v>
      </c>
      <c r="CY21" s="16"/>
      <c r="CZ21" s="60" t="s">
        <v>224</v>
      </c>
      <c r="DA21" s="61">
        <f>14+28</f>
        <v>42</v>
      </c>
      <c r="DB21" s="16"/>
      <c r="DC21" s="16"/>
      <c r="DD21" s="47"/>
      <c r="DE21" s="16"/>
      <c r="DF21" s="16"/>
      <c r="DG21" s="16"/>
      <c r="DH21" s="16"/>
      <c r="DI21" s="16"/>
      <c r="DJ21" s="47"/>
      <c r="DK21" s="16"/>
      <c r="DL21" s="16"/>
      <c r="DM21" s="47"/>
      <c r="DN21" s="16"/>
      <c r="DO21" s="16"/>
      <c r="DP21" s="47"/>
      <c r="DR21" s="16"/>
      <c r="DS21" s="47"/>
      <c r="DU21" s="16"/>
      <c r="DV21" s="47"/>
      <c r="DW21" s="1"/>
      <c r="DX21" s="16"/>
      <c r="DY21" s="47"/>
      <c r="EA21" s="16"/>
      <c r="EB21" s="47"/>
      <c r="ED21" s="16"/>
      <c r="EE21" s="47"/>
      <c r="EG21" s="16"/>
      <c r="EH21" s="47"/>
      <c r="EI21" s="1"/>
      <c r="EJ21" s="28" t="s">
        <v>225</v>
      </c>
      <c r="EK21" s="42">
        <v>205</v>
      </c>
      <c r="EL21" s="15"/>
      <c r="EM21" s="16"/>
      <c r="EN21" s="47"/>
      <c r="EP21" s="16"/>
      <c r="EQ21" s="47"/>
      <c r="ER21" s="59"/>
      <c r="ES21" s="16"/>
      <c r="ET21" s="47"/>
      <c r="EV21" s="16"/>
      <c r="EW21" s="47"/>
      <c r="EY21" s="16"/>
      <c r="EZ21" s="47"/>
      <c r="FB21" s="16"/>
      <c r="FC21" s="47"/>
      <c r="FD21" s="1"/>
      <c r="FE21" s="16"/>
      <c r="FF21" s="47"/>
      <c r="FH21" s="28" t="s">
        <v>226</v>
      </c>
      <c r="FI21" s="42">
        <v>152</v>
      </c>
      <c r="FK21" s="28" t="s">
        <v>227</v>
      </c>
      <c r="FL21" s="42">
        <f>250+10+15+2+10</f>
        <v>287</v>
      </c>
      <c r="FN21" s="28" t="s">
        <v>228</v>
      </c>
      <c r="FO21" s="42">
        <v>78</v>
      </c>
      <c r="FQ21" s="16"/>
      <c r="FR21" s="47"/>
      <c r="FT21" s="16"/>
      <c r="FU21" s="47"/>
      <c r="FV21" s="24"/>
      <c r="FW21" s="16"/>
      <c r="FX21" s="47"/>
      <c r="FY21" s="186"/>
      <c r="FZ21" s="16"/>
      <c r="GA21" s="47"/>
      <c r="GB21" s="47"/>
      <c r="GC21" s="16"/>
      <c r="GD21" s="47"/>
      <c r="GE21" s="238"/>
      <c r="GF21" s="16"/>
      <c r="GG21" s="47"/>
      <c r="GH21" s="238"/>
      <c r="GI21" s="16"/>
      <c r="GJ21" s="47"/>
      <c r="GK21" s="47"/>
      <c r="GL21" s="16"/>
      <c r="GM21" s="47"/>
      <c r="GN21" s="47"/>
      <c r="GO21" s="16"/>
      <c r="GP21" s="47"/>
      <c r="GQ21" s="47"/>
      <c r="GR21" s="16"/>
      <c r="GS21" s="47"/>
      <c r="GT21" s="47"/>
      <c r="GU21" s="16"/>
      <c r="GV21" s="47"/>
      <c r="GX21" s="16"/>
      <c r="GY21" s="47"/>
      <c r="HA21" s="16"/>
      <c r="HB21" s="47"/>
      <c r="HD21" s="16"/>
      <c r="HE21" s="47"/>
    </row>
    <row r="22" spans="1:213" ht="15.75" customHeight="1" x14ac:dyDescent="0.3">
      <c r="A22" s="16"/>
      <c r="B22" s="16"/>
      <c r="C22" s="23">
        <f>B20*0.00522</f>
        <v>5220</v>
      </c>
      <c r="D22" s="16"/>
      <c r="E22" s="16"/>
      <c r="F22" s="16"/>
      <c r="G22" s="16"/>
      <c r="H22" s="16"/>
      <c r="I22" s="16"/>
      <c r="J22" s="16"/>
      <c r="K22" s="16"/>
      <c r="L22" s="16"/>
      <c r="M22" s="16"/>
      <c r="N22" s="16"/>
      <c r="O22" s="29" t="s">
        <v>182</v>
      </c>
      <c r="P22" s="25" t="s">
        <v>229</v>
      </c>
      <c r="Q22" s="25">
        <v>68</v>
      </c>
      <c r="R22" s="16"/>
      <c r="S22" s="25" t="s">
        <v>220</v>
      </c>
      <c r="T22" s="25">
        <v>41</v>
      </c>
      <c r="U22" s="16"/>
      <c r="V22" s="25" t="s">
        <v>120</v>
      </c>
      <c r="W22" s="44">
        <v>91</v>
      </c>
      <c r="X22" s="16"/>
      <c r="Y22" s="25" t="s">
        <v>120</v>
      </c>
      <c r="Z22" s="44">
        <v>91</v>
      </c>
      <c r="AA22" s="16"/>
      <c r="AB22" s="25" t="s">
        <v>120</v>
      </c>
      <c r="AC22" s="44">
        <v>99</v>
      </c>
      <c r="AD22" s="16"/>
      <c r="AE22" s="25" t="s">
        <v>120</v>
      </c>
      <c r="AF22" s="44">
        <v>99</v>
      </c>
      <c r="AG22" s="16"/>
      <c r="AH22" s="25" t="s">
        <v>222</v>
      </c>
      <c r="AI22" s="44">
        <v>24</v>
      </c>
      <c r="AJ22" s="16"/>
      <c r="AK22" s="25" t="s">
        <v>120</v>
      </c>
      <c r="AL22" s="44">
        <v>99</v>
      </c>
      <c r="AM22" s="16"/>
      <c r="AN22" s="25" t="s">
        <v>120</v>
      </c>
      <c r="AO22" s="44">
        <v>99</v>
      </c>
      <c r="AP22" s="16"/>
      <c r="AQ22" s="25" t="s">
        <v>120</v>
      </c>
      <c r="AR22" s="44">
        <v>99</v>
      </c>
      <c r="AS22" s="16"/>
      <c r="AT22" s="25" t="s">
        <v>120</v>
      </c>
      <c r="AU22" s="44">
        <v>99</v>
      </c>
      <c r="AV22" s="16"/>
      <c r="AW22" s="25" t="s">
        <v>120</v>
      </c>
      <c r="AX22" s="44">
        <v>106</v>
      </c>
      <c r="AY22" s="16"/>
      <c r="AZ22" s="25" t="s">
        <v>120</v>
      </c>
      <c r="BA22" s="44">
        <v>106</v>
      </c>
      <c r="BB22" s="16"/>
      <c r="BC22" s="25" t="s">
        <v>120</v>
      </c>
      <c r="BD22" s="44">
        <v>106</v>
      </c>
      <c r="BE22" s="16"/>
      <c r="BF22" s="25" t="s">
        <v>120</v>
      </c>
      <c r="BG22" s="44">
        <v>106</v>
      </c>
      <c r="BH22" s="16"/>
      <c r="BI22" s="25" t="s">
        <v>230</v>
      </c>
      <c r="BJ22" s="25">
        <v>46</v>
      </c>
      <c r="BK22" s="16"/>
      <c r="BL22" s="25" t="s">
        <v>120</v>
      </c>
      <c r="BM22" s="44">
        <v>106</v>
      </c>
      <c r="BN22" s="16"/>
      <c r="BO22" s="25" t="s">
        <v>230</v>
      </c>
      <c r="BP22" s="25">
        <v>50</v>
      </c>
      <c r="BQ22" s="16"/>
      <c r="BR22" s="25" t="s">
        <v>120</v>
      </c>
      <c r="BS22" s="44">
        <v>106</v>
      </c>
      <c r="BT22" s="16"/>
      <c r="BU22" s="25" t="s">
        <v>230</v>
      </c>
      <c r="BV22" s="25">
        <v>51</v>
      </c>
      <c r="BW22" s="16"/>
      <c r="BX22" s="25" t="s">
        <v>120</v>
      </c>
      <c r="BY22" s="44"/>
      <c r="BZ22" s="16"/>
      <c r="CA22" s="25" t="s">
        <v>230</v>
      </c>
      <c r="CB22" s="25">
        <v>41</v>
      </c>
      <c r="CC22" s="16"/>
      <c r="CD22" s="16" t="s">
        <v>120</v>
      </c>
      <c r="CE22" s="47"/>
      <c r="CF22" s="16"/>
      <c r="CG22" s="25" t="s">
        <v>230</v>
      </c>
      <c r="CH22" s="25">
        <v>53</v>
      </c>
      <c r="CI22" s="16"/>
      <c r="CJ22" s="25" t="s">
        <v>120</v>
      </c>
      <c r="CK22" s="44"/>
      <c r="CL22" s="16"/>
      <c r="CM22" s="25" t="s">
        <v>230</v>
      </c>
      <c r="CN22" s="25">
        <v>59</v>
      </c>
      <c r="CO22" s="16"/>
      <c r="CP22" s="16" t="s">
        <v>230</v>
      </c>
      <c r="CQ22" s="16"/>
      <c r="CR22" s="16"/>
      <c r="CS22" s="16"/>
      <c r="CT22" s="16"/>
      <c r="CU22" s="47"/>
      <c r="CV22" s="16"/>
      <c r="CW22" s="28" t="s">
        <v>119</v>
      </c>
      <c r="CX22" s="28">
        <v>51</v>
      </c>
      <c r="CY22" s="16"/>
      <c r="CZ22" s="28" t="s">
        <v>231</v>
      </c>
      <c r="DA22" s="28">
        <v>50</v>
      </c>
      <c r="DB22" s="16"/>
      <c r="DC22" s="16"/>
      <c r="DD22" s="47"/>
      <c r="DE22" s="16"/>
      <c r="DF22" s="16"/>
      <c r="DG22" s="47"/>
      <c r="DH22" s="16"/>
      <c r="DI22" s="16"/>
      <c r="DJ22" s="47"/>
      <c r="DK22" s="16"/>
      <c r="DL22" s="16"/>
      <c r="DM22" s="47"/>
      <c r="DN22" s="16"/>
      <c r="DO22" s="16"/>
      <c r="DP22" s="47"/>
      <c r="DR22" s="16"/>
      <c r="DS22" s="47"/>
      <c r="DU22" s="16"/>
      <c r="DV22" s="47"/>
      <c r="DW22" s="1"/>
      <c r="DX22" s="16"/>
      <c r="DY22" s="47"/>
      <c r="EA22" s="16"/>
      <c r="EB22" s="47"/>
      <c r="ED22" s="28" t="s">
        <v>232</v>
      </c>
      <c r="EE22" s="42"/>
      <c r="EG22" s="28" t="s">
        <v>233</v>
      </c>
      <c r="EH22" s="28">
        <v>95</v>
      </c>
      <c r="EI22" s="1"/>
      <c r="EJ22" s="28" t="s">
        <v>234</v>
      </c>
      <c r="EK22" s="28">
        <v>32</v>
      </c>
      <c r="EL22" s="15"/>
      <c r="EM22" s="28" t="s">
        <v>235</v>
      </c>
      <c r="EN22" s="28">
        <v>785</v>
      </c>
      <c r="EP22" s="28" t="s">
        <v>236</v>
      </c>
      <c r="EQ22" s="28">
        <v>190</v>
      </c>
      <c r="ER22" s="47"/>
      <c r="ES22" s="28" t="s">
        <v>237</v>
      </c>
      <c r="ET22" s="28">
        <f>30+15+73</f>
        <v>118</v>
      </c>
      <c r="EV22" s="28" t="s">
        <v>238</v>
      </c>
      <c r="EW22" s="28">
        <f>33+5+4+20+21+6+23+24+6+5</f>
        <v>147</v>
      </c>
      <c r="EY22" s="28" t="s">
        <v>239</v>
      </c>
      <c r="EZ22" s="28">
        <v>62</v>
      </c>
      <c r="FB22" s="28" t="s">
        <v>240</v>
      </c>
      <c r="FC22" s="28">
        <v>258</v>
      </c>
      <c r="FD22" s="1"/>
      <c r="FE22" s="28" t="s">
        <v>241</v>
      </c>
      <c r="FF22" s="28">
        <v>62</v>
      </c>
      <c r="FH22" s="28" t="s">
        <v>242</v>
      </c>
      <c r="FI22" s="42">
        <v>100</v>
      </c>
      <c r="FK22" s="28" t="s">
        <v>243</v>
      </c>
      <c r="FL22" s="42">
        <v>36</v>
      </c>
      <c r="FN22" s="28" t="s">
        <v>244</v>
      </c>
      <c r="FO22" s="28">
        <v>36</v>
      </c>
      <c r="FQ22" s="62" t="s">
        <v>245</v>
      </c>
      <c r="FR22" s="62">
        <f>47+127+44+49</f>
        <v>267</v>
      </c>
      <c r="FT22" s="62" t="s">
        <v>246</v>
      </c>
      <c r="FU22" s="63">
        <f>180+100+24+193+261+26+134+35+14+7</f>
        <v>974</v>
      </c>
      <c r="FV22" s="20"/>
      <c r="FW22" s="187" t="s">
        <v>208</v>
      </c>
      <c r="FX22" s="188">
        <v>250</v>
      </c>
      <c r="FY22" s="22"/>
      <c r="FZ22" s="62" t="s">
        <v>851</v>
      </c>
      <c r="GA22" s="62">
        <f>10+10</f>
        <v>20</v>
      </c>
      <c r="GB22" s="20"/>
      <c r="GC22" s="62" t="s">
        <v>893</v>
      </c>
      <c r="GD22" s="62">
        <v>40</v>
      </c>
      <c r="GE22" s="212"/>
      <c r="GF22" s="62" t="s">
        <v>1030</v>
      </c>
      <c r="GG22" s="62">
        <f>126-16</f>
        <v>110</v>
      </c>
      <c r="GH22" s="231"/>
      <c r="GI22" s="62" t="s">
        <v>883</v>
      </c>
      <c r="GJ22" s="62"/>
      <c r="GK22" s="20"/>
      <c r="GL22" s="62"/>
      <c r="GM22" s="62"/>
      <c r="GN22" s="20"/>
      <c r="GO22" s="62"/>
      <c r="GP22" s="62"/>
      <c r="GQ22" s="20"/>
      <c r="GR22" s="62"/>
      <c r="GS22" s="62"/>
      <c r="GT22" s="20"/>
      <c r="GU22" s="62"/>
      <c r="GV22" s="62"/>
      <c r="GX22" s="62"/>
      <c r="GY22" s="62"/>
      <c r="HA22" s="62"/>
      <c r="HB22" s="62"/>
      <c r="HD22" s="62"/>
      <c r="HE22" s="62"/>
    </row>
    <row r="23" spans="1:213" ht="15.75" customHeight="1" x14ac:dyDescent="0.3">
      <c r="A23" s="16"/>
      <c r="B23" s="16"/>
      <c r="C23" s="64">
        <f>SUM(C20:C22)</f>
        <v>290220</v>
      </c>
      <c r="D23" s="16"/>
      <c r="E23" s="16"/>
      <c r="F23" s="16"/>
      <c r="G23" s="16"/>
      <c r="H23" s="16"/>
      <c r="I23" s="16"/>
      <c r="J23" s="16"/>
      <c r="K23" s="16"/>
      <c r="L23" s="16"/>
      <c r="M23" s="16"/>
      <c r="N23" s="16"/>
      <c r="O23" s="16"/>
      <c r="P23" s="25" t="s">
        <v>247</v>
      </c>
      <c r="Q23" s="25">
        <f>Q20+Q21+Q22</f>
        <v>133</v>
      </c>
      <c r="R23" s="16"/>
      <c r="S23" s="25" t="s">
        <v>222</v>
      </c>
      <c r="T23" s="25">
        <v>16</v>
      </c>
      <c r="U23" s="16"/>
      <c r="V23" s="65" t="s">
        <v>247</v>
      </c>
      <c r="W23" s="65">
        <f>W20+W21+W22</f>
        <v>144</v>
      </c>
      <c r="X23" s="16"/>
      <c r="Y23" s="25" t="s">
        <v>230</v>
      </c>
      <c r="Z23" s="25">
        <v>70</v>
      </c>
      <c r="AA23" s="16"/>
      <c r="AB23" s="65" t="s">
        <v>247</v>
      </c>
      <c r="AC23" s="65">
        <f>AC21+AC22+AC20</f>
        <v>163</v>
      </c>
      <c r="AD23" s="16"/>
      <c r="AE23" s="25" t="s">
        <v>230</v>
      </c>
      <c r="AF23" s="25">
        <v>81</v>
      </c>
      <c r="AG23" s="16"/>
      <c r="AH23" s="25" t="s">
        <v>120</v>
      </c>
      <c r="AI23" s="44">
        <v>99</v>
      </c>
      <c r="AJ23" s="16"/>
      <c r="AK23" s="25" t="s">
        <v>230</v>
      </c>
      <c r="AL23" s="25">
        <v>77</v>
      </c>
      <c r="AM23" s="16"/>
      <c r="AN23" s="65" t="s">
        <v>247</v>
      </c>
      <c r="AO23" s="65">
        <f>AO21+AO22+AO20</f>
        <v>164</v>
      </c>
      <c r="AP23" s="16"/>
      <c r="AQ23" s="25" t="s">
        <v>230</v>
      </c>
      <c r="AR23" s="25">
        <v>75</v>
      </c>
      <c r="AS23" s="16"/>
      <c r="AT23" s="65" t="s">
        <v>247</v>
      </c>
      <c r="AU23" s="65">
        <f>AU22++AU21+AU20</f>
        <v>155</v>
      </c>
      <c r="AV23" s="16"/>
      <c r="AW23" s="25" t="s">
        <v>230</v>
      </c>
      <c r="AX23" s="25">
        <v>50</v>
      </c>
      <c r="AY23" s="16"/>
      <c r="AZ23" s="65" t="s">
        <v>247</v>
      </c>
      <c r="BA23" s="65">
        <f>BA22++BA21+BA20</f>
        <v>179</v>
      </c>
      <c r="BB23" s="16"/>
      <c r="BC23" s="25" t="s">
        <v>230</v>
      </c>
      <c r="BD23" s="25">
        <v>53</v>
      </c>
      <c r="BE23" s="16"/>
      <c r="BF23" s="65" t="s">
        <v>247</v>
      </c>
      <c r="BG23" s="65">
        <f>BG22++BG21+BG20</f>
        <v>172</v>
      </c>
      <c r="BH23" s="16"/>
      <c r="BI23" s="65" t="s">
        <v>247</v>
      </c>
      <c r="BJ23" s="65">
        <f>BJ21++BJ20+BJ19+BJ22</f>
        <v>227</v>
      </c>
      <c r="BK23" s="16"/>
      <c r="BL23" s="65" t="s">
        <v>247</v>
      </c>
      <c r="BM23" s="65">
        <f>BM22++BM21+BM20</f>
        <v>177</v>
      </c>
      <c r="BN23" s="16"/>
      <c r="BO23" s="65" t="s">
        <v>247</v>
      </c>
      <c r="BP23" s="65">
        <f>BP21++BP20+BP19+BP22</f>
        <v>222</v>
      </c>
      <c r="BQ23" s="16"/>
      <c r="BR23" s="50" t="s">
        <v>247</v>
      </c>
      <c r="BS23" s="50">
        <f>BS22++BS21+BS20</f>
        <v>171</v>
      </c>
      <c r="BT23" s="16"/>
      <c r="BU23" s="65" t="s">
        <v>247</v>
      </c>
      <c r="BV23" s="65">
        <f>BV21++BV20+BV19+BV22</f>
        <v>109</v>
      </c>
      <c r="BW23" s="50"/>
      <c r="BX23" s="65" t="s">
        <v>247</v>
      </c>
      <c r="BY23" s="65">
        <f>BY22++BY21+BY20</f>
        <v>71</v>
      </c>
      <c r="BZ23" s="16"/>
      <c r="CA23" s="50" t="s">
        <v>247</v>
      </c>
      <c r="CB23" s="50">
        <f>CB21++CB20+CB19+CB22</f>
        <v>108</v>
      </c>
      <c r="CC23" s="16"/>
      <c r="CD23" s="50" t="s">
        <v>247</v>
      </c>
      <c r="CE23" s="50">
        <f>CE22++CE21+CE20</f>
        <v>59</v>
      </c>
      <c r="CF23" s="16"/>
      <c r="CG23" s="50" t="s">
        <v>247</v>
      </c>
      <c r="CH23" s="50">
        <f>CH21++CH20+CH19+CH22</f>
        <v>122</v>
      </c>
      <c r="CI23" s="16"/>
      <c r="CJ23" s="65" t="s">
        <v>247</v>
      </c>
      <c r="CK23" s="65">
        <f>CK22++CK21+CK20</f>
        <v>58</v>
      </c>
      <c r="CL23" s="16"/>
      <c r="CM23" s="50" t="s">
        <v>247</v>
      </c>
      <c r="CN23" s="50">
        <f>CN21++CN20+CN19+CN22</f>
        <v>123</v>
      </c>
      <c r="CO23" s="16"/>
      <c r="CP23" s="50" t="s">
        <v>247</v>
      </c>
      <c r="CQ23" s="50">
        <f>CQ21++CQ20+CQ19+CQ22</f>
        <v>70</v>
      </c>
      <c r="CR23" s="16"/>
      <c r="CS23" s="16"/>
      <c r="CT23" s="16"/>
      <c r="CU23" s="16"/>
      <c r="CV23" s="16"/>
      <c r="CW23" s="28" t="s">
        <v>248</v>
      </c>
      <c r="CX23" s="28">
        <v>20</v>
      </c>
      <c r="CY23" s="16"/>
      <c r="CZ23" s="28" t="s">
        <v>249</v>
      </c>
      <c r="DA23" s="28">
        <v>44</v>
      </c>
      <c r="DB23" s="16"/>
      <c r="DC23" s="28" t="s">
        <v>250</v>
      </c>
      <c r="DD23" s="42">
        <v>25</v>
      </c>
      <c r="DE23" s="16"/>
      <c r="DF23" s="16" t="s">
        <v>111</v>
      </c>
      <c r="DG23" s="47"/>
      <c r="DH23" s="16"/>
      <c r="DI23" s="28" t="s">
        <v>251</v>
      </c>
      <c r="DJ23" s="42">
        <v>6</v>
      </c>
      <c r="DK23" s="16"/>
      <c r="DL23" s="28" t="s">
        <v>252</v>
      </c>
      <c r="DM23" s="42">
        <v>70</v>
      </c>
      <c r="DN23" s="16"/>
      <c r="DO23" s="28" t="s">
        <v>253</v>
      </c>
      <c r="DP23" s="42">
        <f>163+264+20+15+14</f>
        <v>476</v>
      </c>
      <c r="DR23" s="28" t="s">
        <v>254</v>
      </c>
      <c r="DS23" s="42">
        <f>110+23+20+8-43</f>
        <v>118</v>
      </c>
      <c r="DU23" s="28" t="s">
        <v>255</v>
      </c>
      <c r="DV23" s="42">
        <v>63</v>
      </c>
      <c r="DW23" s="1"/>
      <c r="DX23" s="16"/>
      <c r="DY23" s="47"/>
      <c r="EA23" s="28" t="s">
        <v>256</v>
      </c>
      <c r="EB23" s="28">
        <v>121</v>
      </c>
      <c r="ED23" s="28" t="s">
        <v>257</v>
      </c>
      <c r="EE23" s="42">
        <f>100+15+12</f>
        <v>127</v>
      </c>
      <c r="EG23" s="28" t="s">
        <v>258</v>
      </c>
      <c r="EH23" s="28">
        <v>15</v>
      </c>
      <c r="EI23" s="1"/>
      <c r="EJ23" s="28" t="s">
        <v>259</v>
      </c>
      <c r="EK23" s="42">
        <v>40</v>
      </c>
      <c r="EL23" s="15"/>
      <c r="EM23" s="28" t="s">
        <v>260</v>
      </c>
      <c r="EN23" s="28">
        <v>12</v>
      </c>
      <c r="EO23" s="15"/>
      <c r="EP23" s="28" t="s">
        <v>261</v>
      </c>
      <c r="EQ23" s="42">
        <v>270</v>
      </c>
      <c r="ER23" s="47"/>
      <c r="ES23" s="28" t="s">
        <v>97</v>
      </c>
      <c r="ET23" s="28">
        <v>240</v>
      </c>
      <c r="EV23" s="28" t="s">
        <v>262</v>
      </c>
      <c r="EW23" s="42">
        <f>113+60+16-76</f>
        <v>113</v>
      </c>
      <c r="EY23" s="28" t="s">
        <v>263</v>
      </c>
      <c r="EZ23" s="42">
        <f>30+22+12</f>
        <v>64</v>
      </c>
      <c r="FB23" s="28" t="s">
        <v>264</v>
      </c>
      <c r="FC23" s="42">
        <v>245</v>
      </c>
      <c r="FD23" s="1"/>
      <c r="FE23" s="28" t="s">
        <v>265</v>
      </c>
      <c r="FF23" s="42">
        <f>216+35-18</f>
        <v>233</v>
      </c>
      <c r="FH23" s="28" t="s">
        <v>266</v>
      </c>
      <c r="FI23" s="42">
        <v>69</v>
      </c>
      <c r="FJ23" s="21"/>
      <c r="FK23" s="28" t="s">
        <v>226</v>
      </c>
      <c r="FL23" s="42">
        <v>50</v>
      </c>
      <c r="FM23" s="21"/>
      <c r="FN23" s="28" t="s">
        <v>267</v>
      </c>
      <c r="FO23" s="42">
        <v>180</v>
      </c>
      <c r="FQ23" s="62" t="s">
        <v>268</v>
      </c>
      <c r="FR23" s="63">
        <v>70</v>
      </c>
      <c r="FT23" s="62" t="s">
        <v>269</v>
      </c>
      <c r="FU23" s="63">
        <v>50</v>
      </c>
      <c r="FV23" s="181"/>
      <c r="FW23" s="28" t="s">
        <v>833</v>
      </c>
      <c r="FX23" s="42">
        <v>27</v>
      </c>
      <c r="FY23" s="190"/>
      <c r="FZ23" s="28" t="s">
        <v>324</v>
      </c>
      <c r="GA23" s="42">
        <f>12+9+7</f>
        <v>28</v>
      </c>
      <c r="GB23" s="193"/>
      <c r="GC23" s="189" t="s">
        <v>858</v>
      </c>
      <c r="GD23" s="42">
        <f>151-60+11+450+32+108+460+39+875+681+272</f>
        <v>3019</v>
      </c>
      <c r="GE23" s="212"/>
      <c r="GF23" s="28" t="s">
        <v>1032</v>
      </c>
      <c r="GG23" s="42">
        <v>60</v>
      </c>
      <c r="GH23" s="231"/>
      <c r="GI23" s="28" t="s">
        <v>884</v>
      </c>
      <c r="GJ23" s="42"/>
      <c r="GK23" s="24"/>
      <c r="GL23" s="28"/>
      <c r="GM23" s="42"/>
      <c r="GN23" s="24"/>
      <c r="GO23" s="28"/>
      <c r="GP23" s="42"/>
      <c r="GQ23" s="24"/>
      <c r="GR23" s="28"/>
      <c r="GS23" s="42"/>
      <c r="GT23" s="24"/>
      <c r="GU23" s="28"/>
      <c r="GV23" s="42"/>
      <c r="GX23" s="28"/>
      <c r="GY23" s="42"/>
      <c r="HA23" s="28"/>
      <c r="HB23" s="42"/>
      <c r="HD23" s="28"/>
      <c r="HE23" s="42"/>
    </row>
    <row r="24" spans="1:213" ht="15.75" customHeight="1" x14ac:dyDescent="0.3">
      <c r="A24" s="16"/>
      <c r="B24" s="16"/>
      <c r="C24" s="23"/>
      <c r="D24" s="16"/>
      <c r="E24" s="16"/>
      <c r="F24" s="16"/>
      <c r="G24" s="16"/>
      <c r="H24" s="16"/>
      <c r="I24" s="16"/>
      <c r="J24" s="16"/>
      <c r="K24" s="16" t="s">
        <v>270</v>
      </c>
      <c r="L24" s="16"/>
      <c r="M24" s="25" t="s">
        <v>271</v>
      </c>
      <c r="N24" s="16"/>
      <c r="O24" s="16"/>
      <c r="P24" s="16"/>
      <c r="Q24" s="16"/>
      <c r="R24" s="16"/>
      <c r="S24" s="25" t="s">
        <v>230</v>
      </c>
      <c r="T24" s="25">
        <v>62</v>
      </c>
      <c r="U24" s="16"/>
      <c r="V24" s="16"/>
      <c r="W24" s="16"/>
      <c r="X24" s="16"/>
      <c r="Y24" s="65" t="s">
        <v>247</v>
      </c>
      <c r="Z24" s="65">
        <f>Z21+Z22+Z23+Z20</f>
        <v>215</v>
      </c>
      <c r="AA24" s="16"/>
      <c r="AB24" s="16"/>
      <c r="AC24" s="16"/>
      <c r="AD24" s="16"/>
      <c r="AE24" s="65" t="s">
        <v>247</v>
      </c>
      <c r="AF24" s="65">
        <f>AF22+AF23+AF21+AF20</f>
        <v>242</v>
      </c>
      <c r="AG24" s="16"/>
      <c r="AH24" s="65" t="s">
        <v>247</v>
      </c>
      <c r="AI24" s="65">
        <f>AI22+AI23+AI21</f>
        <v>170</v>
      </c>
      <c r="AJ24" s="16"/>
      <c r="AK24" s="65" t="s">
        <v>247</v>
      </c>
      <c r="AL24" s="65">
        <f>AL22+AL23+AL21+AL20</f>
        <v>269</v>
      </c>
      <c r="AM24" s="16"/>
      <c r="AN24" s="16"/>
      <c r="AO24" s="16"/>
      <c r="AP24" s="16"/>
      <c r="AQ24" s="50" t="s">
        <v>247</v>
      </c>
      <c r="AR24" s="50">
        <f>AR22+AR23+AR21+AR20</f>
        <v>233</v>
      </c>
      <c r="AS24" s="16"/>
      <c r="AT24" s="16"/>
      <c r="AU24" s="16"/>
      <c r="AV24" s="16"/>
      <c r="AW24" s="50" t="s">
        <v>247</v>
      </c>
      <c r="AX24" s="50">
        <f>AX22++AX21+AX20+AX23</f>
        <v>170</v>
      </c>
      <c r="AY24" s="16"/>
      <c r="AZ24" s="16"/>
      <c r="BA24" s="16"/>
      <c r="BB24" s="16"/>
      <c r="BC24" s="50" t="s">
        <v>247</v>
      </c>
      <c r="BD24" s="50">
        <f>BD22++BD21+BD20+BD23</f>
        <v>231</v>
      </c>
      <c r="BE24" s="16"/>
      <c r="BF24" s="16"/>
      <c r="BG24" s="16"/>
      <c r="BH24" s="16"/>
      <c r="BI24" s="16"/>
      <c r="BJ24" s="16"/>
      <c r="BK24" s="16"/>
      <c r="BL24" s="50"/>
      <c r="BM24" s="50"/>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50"/>
      <c r="CU24" s="50"/>
      <c r="CV24" s="16"/>
      <c r="CW24" s="28" t="s">
        <v>272</v>
      </c>
      <c r="CX24" s="28">
        <f>29+24</f>
        <v>53</v>
      </c>
      <c r="CY24" s="16"/>
      <c r="CZ24" s="28" t="s">
        <v>273</v>
      </c>
      <c r="DA24" s="28">
        <v>15</v>
      </c>
      <c r="DB24" s="16"/>
      <c r="DC24" s="28" t="s">
        <v>274</v>
      </c>
      <c r="DD24" s="42">
        <f>78+186</f>
        <v>264</v>
      </c>
      <c r="DE24" s="16"/>
      <c r="DF24" s="28" t="s">
        <v>111</v>
      </c>
      <c r="DG24" s="42">
        <v>16</v>
      </c>
      <c r="DH24" s="16"/>
      <c r="DI24" s="28" t="s">
        <v>275</v>
      </c>
      <c r="DJ24" s="42">
        <v>18</v>
      </c>
      <c r="DK24" s="16"/>
      <c r="DL24" s="28" t="s">
        <v>276</v>
      </c>
      <c r="DM24" s="42">
        <f>50+35+43+24</f>
        <v>152</v>
      </c>
      <c r="DN24" s="16"/>
      <c r="DO24" s="28" t="s">
        <v>277</v>
      </c>
      <c r="DP24" s="42">
        <f>114+80+10-100</f>
        <v>104</v>
      </c>
      <c r="DR24" s="28" t="s">
        <v>278</v>
      </c>
      <c r="DS24" s="42">
        <v>21</v>
      </c>
      <c r="DU24" s="28" t="s">
        <v>279</v>
      </c>
      <c r="DV24" s="42">
        <f>69+34+60+6+20+84+13+5</f>
        <v>291</v>
      </c>
      <c r="DX24" s="28" t="s">
        <v>280</v>
      </c>
      <c r="DY24" s="42">
        <f>17+10</f>
        <v>27</v>
      </c>
      <c r="EA24" s="28" t="s">
        <v>281</v>
      </c>
      <c r="EB24" s="42">
        <f>20+15+17</f>
        <v>52</v>
      </c>
      <c r="ED24" s="28" t="s">
        <v>282</v>
      </c>
      <c r="EE24" s="42">
        <v>80</v>
      </c>
      <c r="EG24" s="28" t="s">
        <v>283</v>
      </c>
      <c r="EH24" s="28">
        <f>15+18+6</f>
        <v>39</v>
      </c>
      <c r="EI24" s="1"/>
      <c r="EJ24" s="28" t="s">
        <v>284</v>
      </c>
      <c r="EK24" s="42">
        <v>90</v>
      </c>
      <c r="EL24" s="34"/>
      <c r="EM24" s="34"/>
      <c r="EN24" s="34"/>
      <c r="EO24" s="34"/>
      <c r="EP24" s="28" t="s">
        <v>97</v>
      </c>
      <c r="EQ24" s="42">
        <v>100</v>
      </c>
      <c r="ER24" s="47"/>
      <c r="ES24" s="28" t="s">
        <v>285</v>
      </c>
      <c r="ET24" s="28">
        <v>6</v>
      </c>
      <c r="EV24" s="28" t="s">
        <v>286</v>
      </c>
      <c r="EW24" s="42">
        <f>180+23+16-6</f>
        <v>213</v>
      </c>
      <c r="EY24" s="28" t="s">
        <v>245</v>
      </c>
      <c r="EZ24" s="42">
        <f>45+47+12+4+22+5+10+30</f>
        <v>175</v>
      </c>
      <c r="FB24" s="28" t="s">
        <v>267</v>
      </c>
      <c r="FC24" s="42">
        <f>195+10</f>
        <v>205</v>
      </c>
      <c r="FD24" s="1"/>
      <c r="FE24" s="28" t="s">
        <v>287</v>
      </c>
      <c r="FF24" s="42">
        <f>100+50</f>
        <v>150</v>
      </c>
      <c r="FH24" s="28" t="s">
        <v>288</v>
      </c>
      <c r="FI24" s="42">
        <v>20</v>
      </c>
      <c r="FK24" s="28" t="s">
        <v>289</v>
      </c>
      <c r="FL24" s="28">
        <v>20</v>
      </c>
      <c r="FN24" s="28" t="s">
        <v>238</v>
      </c>
      <c r="FO24" s="42">
        <f>21+22+2</f>
        <v>45</v>
      </c>
      <c r="FQ24" s="62" t="s">
        <v>290</v>
      </c>
      <c r="FR24" s="62">
        <v>44</v>
      </c>
      <c r="FT24" s="62" t="s">
        <v>175</v>
      </c>
      <c r="FU24" s="63">
        <v>30</v>
      </c>
      <c r="FV24" s="181"/>
      <c r="FW24" s="28" t="s">
        <v>834</v>
      </c>
      <c r="FX24" s="42">
        <f>45+20+30+189+150+57</f>
        <v>491</v>
      </c>
      <c r="FY24" s="20"/>
      <c r="FZ24" s="28" t="s">
        <v>238</v>
      </c>
      <c r="GA24" s="42">
        <f>17+5+7+7+10+14+3+3+10+8+2+20+2+8+7+11+55</f>
        <v>189</v>
      </c>
      <c r="GB24" s="20"/>
      <c r="GC24" s="28" t="s">
        <v>820</v>
      </c>
      <c r="GD24" s="42">
        <f>21+7+16+10</f>
        <v>54</v>
      </c>
      <c r="GE24" s="20"/>
      <c r="GF24" s="273" t="s">
        <v>440</v>
      </c>
      <c r="GG24" s="28">
        <v>19</v>
      </c>
      <c r="GH24" s="231"/>
      <c r="GI24" s="28"/>
      <c r="GJ24" s="42"/>
      <c r="GK24" s="20"/>
      <c r="GL24" s="28"/>
      <c r="GM24" s="42"/>
      <c r="GN24" s="20"/>
      <c r="GO24" s="28"/>
      <c r="GP24" s="42"/>
      <c r="GQ24" s="20"/>
      <c r="GR24" s="28"/>
      <c r="GS24" s="42"/>
      <c r="GT24" s="20"/>
      <c r="GU24" s="28"/>
      <c r="GV24" s="42"/>
      <c r="GX24" s="28"/>
      <c r="GY24" s="42"/>
      <c r="HA24" s="28"/>
      <c r="HB24" s="42"/>
      <c r="HD24" s="28"/>
      <c r="HE24" s="42"/>
    </row>
    <row r="25" spans="1:213" ht="15.75" customHeight="1" x14ac:dyDescent="0.3">
      <c r="A25" s="16"/>
      <c r="B25" s="16"/>
      <c r="C25" s="64"/>
      <c r="D25" s="16"/>
      <c r="E25" s="16"/>
      <c r="F25" s="16"/>
      <c r="G25" s="16"/>
      <c r="H25" s="16"/>
      <c r="I25" s="16"/>
      <c r="J25" s="16"/>
      <c r="K25" s="16"/>
      <c r="L25" s="16"/>
      <c r="M25" s="25" t="s">
        <v>291</v>
      </c>
      <c r="N25" s="16"/>
      <c r="O25" s="16"/>
      <c r="P25" s="16"/>
      <c r="Q25" s="16"/>
      <c r="R25" s="16"/>
      <c r="S25" s="25" t="s">
        <v>247</v>
      </c>
      <c r="T25" s="25">
        <f>T22+T23+T24</f>
        <v>119</v>
      </c>
      <c r="U25" s="16"/>
      <c r="V25" s="65" t="s">
        <v>111</v>
      </c>
      <c r="W25" s="65">
        <f>SUM(W26:W34)</f>
        <v>279</v>
      </c>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50"/>
      <c r="BM25" s="50"/>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28" t="s">
        <v>292</v>
      </c>
      <c r="CX25" s="28">
        <f>127-70</f>
        <v>57</v>
      </c>
      <c r="CY25" s="16"/>
      <c r="CZ25" s="28" t="s">
        <v>293</v>
      </c>
      <c r="DA25" s="28">
        <v>50</v>
      </c>
      <c r="DB25" s="16"/>
      <c r="DC25" s="28" t="s">
        <v>117</v>
      </c>
      <c r="DD25" s="28">
        <v>7</v>
      </c>
      <c r="DE25" s="16"/>
      <c r="DF25" s="28" t="s">
        <v>122</v>
      </c>
      <c r="DG25" s="42">
        <v>52</v>
      </c>
      <c r="DH25" s="16"/>
      <c r="DI25" s="28" t="s">
        <v>294</v>
      </c>
      <c r="DJ25" s="28">
        <v>36</v>
      </c>
      <c r="DK25" s="16"/>
      <c r="DL25" s="28" t="s">
        <v>295</v>
      </c>
      <c r="DM25" s="28">
        <v>35</v>
      </c>
      <c r="DN25" s="16"/>
      <c r="DO25" s="28" t="s">
        <v>296</v>
      </c>
      <c r="DP25" s="28">
        <v>21</v>
      </c>
      <c r="DR25" s="28" t="s">
        <v>297</v>
      </c>
      <c r="DS25" s="28">
        <f>58+31+9</f>
        <v>98</v>
      </c>
      <c r="DU25" s="28" t="s">
        <v>298</v>
      </c>
      <c r="DV25" s="28">
        <f>89-30</f>
        <v>59</v>
      </c>
      <c r="DX25" s="28" t="s">
        <v>299</v>
      </c>
      <c r="DY25" s="28">
        <v>40</v>
      </c>
      <c r="EA25" s="28" t="s">
        <v>300</v>
      </c>
      <c r="EB25" s="28">
        <v>160</v>
      </c>
      <c r="ED25" s="28" t="s">
        <v>301</v>
      </c>
      <c r="EE25" s="28">
        <v>82</v>
      </c>
      <c r="EG25" s="28" t="s">
        <v>302</v>
      </c>
      <c r="EH25" s="28">
        <v>201</v>
      </c>
      <c r="EI25" s="1"/>
      <c r="EJ25" s="28" t="s">
        <v>303</v>
      </c>
      <c r="EK25" s="42">
        <v>90</v>
      </c>
      <c r="EL25" s="15"/>
      <c r="EM25" s="15"/>
      <c r="EN25" s="15"/>
      <c r="EO25" s="15"/>
      <c r="EP25" s="28" t="s">
        <v>238</v>
      </c>
      <c r="EQ25" s="28">
        <v>125</v>
      </c>
      <c r="ER25" s="47"/>
      <c r="ES25" s="28" t="s">
        <v>245</v>
      </c>
      <c r="ET25" s="28">
        <f>7+57+4+20+42+23</f>
        <v>153</v>
      </c>
      <c r="EV25" s="28" t="s">
        <v>245</v>
      </c>
      <c r="EW25" s="28">
        <f>26+59+3+57+20+20</f>
        <v>185</v>
      </c>
      <c r="EY25" s="28" t="s">
        <v>304</v>
      </c>
      <c r="EZ25" s="28">
        <v>10</v>
      </c>
      <c r="FB25" s="28" t="s">
        <v>143</v>
      </c>
      <c r="FC25" s="28">
        <v>20</v>
      </c>
      <c r="FE25" s="28" t="s">
        <v>238</v>
      </c>
      <c r="FF25" s="28">
        <f>36+28</f>
        <v>64</v>
      </c>
      <c r="FH25" s="28" t="s">
        <v>238</v>
      </c>
      <c r="FI25" s="28">
        <f>33+6+2+3+5+8</f>
        <v>57</v>
      </c>
      <c r="FK25" s="28"/>
      <c r="FL25" s="28"/>
      <c r="FN25" s="28" t="s">
        <v>273</v>
      </c>
      <c r="FO25" s="28">
        <f>18+8</f>
        <v>26</v>
      </c>
      <c r="FQ25" s="62" t="s">
        <v>238</v>
      </c>
      <c r="FR25" s="28">
        <f>7+2+3+6+6+4+5+7</f>
        <v>40</v>
      </c>
      <c r="FT25" s="62" t="s">
        <v>305</v>
      </c>
      <c r="FU25" s="62">
        <v>30</v>
      </c>
      <c r="FV25" s="20"/>
      <c r="FW25" s="28" t="s">
        <v>835</v>
      </c>
      <c r="FX25" s="28">
        <v>65</v>
      </c>
      <c r="FY25" s="20"/>
      <c r="FZ25" s="28" t="s">
        <v>878</v>
      </c>
      <c r="GA25" s="42">
        <v>250</v>
      </c>
      <c r="GB25" s="198"/>
      <c r="GC25" s="28" t="s">
        <v>238</v>
      </c>
      <c r="GD25" s="28">
        <f>7+7+11+6</f>
        <v>31</v>
      </c>
      <c r="GE25" s="20"/>
      <c r="GF25" s="273" t="s">
        <v>111</v>
      </c>
      <c r="GG25" s="28">
        <v>24</v>
      </c>
      <c r="GH25" s="20"/>
      <c r="GI25" s="28"/>
      <c r="GJ25" s="28"/>
      <c r="GK25" s="20"/>
      <c r="GL25" s="28"/>
      <c r="GM25" s="28"/>
      <c r="GN25" s="20"/>
      <c r="GO25" s="28"/>
      <c r="GP25" s="28"/>
      <c r="GQ25" s="20"/>
      <c r="GR25" s="28"/>
      <c r="GS25" s="28"/>
      <c r="GT25" s="20"/>
      <c r="GU25" s="28"/>
      <c r="GV25" s="28"/>
      <c r="GX25" s="28"/>
      <c r="GY25" s="28"/>
      <c r="HA25" s="28"/>
      <c r="HB25" s="28"/>
      <c r="HD25" s="28"/>
      <c r="HE25" s="28"/>
    </row>
    <row r="26" spans="1:213" ht="15.75" customHeight="1" x14ac:dyDescent="0.3">
      <c r="A26" s="16"/>
      <c r="B26" s="16"/>
      <c r="C26" s="16"/>
      <c r="D26" s="16"/>
      <c r="E26" s="16"/>
      <c r="F26" s="16"/>
      <c r="G26" s="16"/>
      <c r="H26" s="16"/>
      <c r="I26" s="16"/>
      <c r="J26" s="16"/>
      <c r="K26" s="16"/>
      <c r="L26" s="16"/>
      <c r="M26" s="16"/>
      <c r="N26" s="16"/>
      <c r="O26" s="16"/>
      <c r="P26" s="16"/>
      <c r="Q26" s="16"/>
      <c r="R26" s="16"/>
      <c r="S26" s="16"/>
      <c r="T26" s="16"/>
      <c r="U26" s="16"/>
      <c r="V26" s="25" t="s">
        <v>136</v>
      </c>
      <c r="W26" s="25">
        <v>23</v>
      </c>
      <c r="X26" s="16"/>
      <c r="Y26" s="25" t="s">
        <v>273</v>
      </c>
      <c r="Z26" s="25">
        <v>20</v>
      </c>
      <c r="AA26" s="16"/>
      <c r="AB26" s="25" t="s">
        <v>306</v>
      </c>
      <c r="AC26" s="25">
        <v>50</v>
      </c>
      <c r="AD26" s="16"/>
      <c r="AE26" s="25" t="s">
        <v>307</v>
      </c>
      <c r="AF26" s="25">
        <v>14</v>
      </c>
      <c r="AG26" s="16"/>
      <c r="AH26" s="25" t="s">
        <v>308</v>
      </c>
      <c r="AI26" s="25">
        <v>618</v>
      </c>
      <c r="AJ26" s="16"/>
      <c r="AK26" s="16"/>
      <c r="AL26" s="16"/>
      <c r="AM26" s="16"/>
      <c r="AN26" s="25" t="s">
        <v>277</v>
      </c>
      <c r="AO26" s="25">
        <v>72</v>
      </c>
      <c r="AP26" s="16"/>
      <c r="AQ26" s="16"/>
      <c r="AR26" s="16"/>
      <c r="AS26" s="16"/>
      <c r="AT26" s="16"/>
      <c r="AU26" s="16">
        <v>395</v>
      </c>
      <c r="AV26" s="16"/>
      <c r="AW26" s="16"/>
      <c r="AX26" s="16"/>
      <c r="AY26" s="16"/>
      <c r="AZ26" s="16"/>
      <c r="BA26" s="16"/>
      <c r="BB26" s="16"/>
      <c r="BC26" s="16" t="s">
        <v>111</v>
      </c>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28" t="s">
        <v>175</v>
      </c>
      <c r="CX26" s="28">
        <v>320</v>
      </c>
      <c r="CY26" s="16"/>
      <c r="CZ26" s="28" t="s">
        <v>309</v>
      </c>
      <c r="DA26" s="28">
        <v>242</v>
      </c>
      <c r="DB26" s="16"/>
      <c r="DC26" s="28" t="s">
        <v>310</v>
      </c>
      <c r="DD26" s="28">
        <v>30</v>
      </c>
      <c r="DE26" s="16"/>
      <c r="DF26" s="28" t="s">
        <v>188</v>
      </c>
      <c r="DG26" s="42">
        <v>30</v>
      </c>
      <c r="DH26" s="16"/>
      <c r="DI26" s="28" t="s">
        <v>143</v>
      </c>
      <c r="DJ26" s="28">
        <v>60</v>
      </c>
      <c r="DK26" s="16"/>
      <c r="DL26" s="28" t="s">
        <v>311</v>
      </c>
      <c r="DM26" s="28">
        <v>82</v>
      </c>
      <c r="DN26" s="16"/>
      <c r="DO26" s="28" t="s">
        <v>312</v>
      </c>
      <c r="DP26" s="28">
        <v>124</v>
      </c>
      <c r="DR26" s="28" t="s">
        <v>313</v>
      </c>
      <c r="DS26" s="28">
        <v>50</v>
      </c>
      <c r="DU26" s="28" t="s">
        <v>314</v>
      </c>
      <c r="DV26" s="28">
        <f>57+12</f>
        <v>69</v>
      </c>
      <c r="DX26" s="28" t="s">
        <v>111</v>
      </c>
      <c r="DY26" s="28">
        <f>16+9</f>
        <v>25</v>
      </c>
      <c r="EA26" s="28" t="s">
        <v>315</v>
      </c>
      <c r="EB26" s="28">
        <v>111</v>
      </c>
      <c r="ED26" s="28" t="s">
        <v>316</v>
      </c>
      <c r="EE26" s="28">
        <f>44+10+8+5+12</f>
        <v>79</v>
      </c>
      <c r="EG26" s="28" t="s">
        <v>317</v>
      </c>
      <c r="EH26" s="28">
        <v>54</v>
      </c>
      <c r="EI26" s="1"/>
      <c r="EJ26" s="28" t="s">
        <v>318</v>
      </c>
      <c r="EK26" s="28">
        <f>26+12+5</f>
        <v>43</v>
      </c>
      <c r="EL26" s="15"/>
      <c r="EM26" s="15"/>
      <c r="EN26" s="15"/>
      <c r="EO26" s="15"/>
      <c r="EP26" s="28" t="s">
        <v>273</v>
      </c>
      <c r="EQ26" s="28">
        <v>20</v>
      </c>
      <c r="ER26" s="47"/>
      <c r="ES26" s="28" t="s">
        <v>319</v>
      </c>
      <c r="ET26" s="28">
        <f>25+40</f>
        <v>65</v>
      </c>
      <c r="EV26" s="28" t="s">
        <v>320</v>
      </c>
      <c r="EW26" s="28">
        <f>54+24+10+17</f>
        <v>105</v>
      </c>
      <c r="EY26" s="28" t="s">
        <v>321</v>
      </c>
      <c r="EZ26" s="28">
        <v>15</v>
      </c>
      <c r="FB26" s="28" t="s">
        <v>322</v>
      </c>
      <c r="FC26" s="28">
        <v>3320</v>
      </c>
      <c r="FE26" s="28" t="s">
        <v>323</v>
      </c>
      <c r="FF26" s="28">
        <f>38+44</f>
        <v>82</v>
      </c>
      <c r="FH26" s="28" t="s">
        <v>139</v>
      </c>
      <c r="FI26" s="28">
        <v>50</v>
      </c>
      <c r="FK26" s="28" t="s">
        <v>324</v>
      </c>
      <c r="FL26" s="28">
        <v>150</v>
      </c>
      <c r="FN26" s="28" t="s">
        <v>325</v>
      </c>
      <c r="FO26" s="28">
        <v>60</v>
      </c>
      <c r="FQ26" s="62" t="s">
        <v>143</v>
      </c>
      <c r="FR26" s="62">
        <f>10+15+50</f>
        <v>75</v>
      </c>
      <c r="FT26" s="62" t="s">
        <v>818</v>
      </c>
      <c r="FU26" s="62">
        <f>14+8+10</f>
        <v>32</v>
      </c>
      <c r="FV26" s="24"/>
      <c r="FW26" s="28" t="s">
        <v>324</v>
      </c>
      <c r="FX26" s="28">
        <f>13+10+9+12+7</f>
        <v>51</v>
      </c>
      <c r="FY26" s="24"/>
      <c r="FZ26" s="28" t="s">
        <v>854</v>
      </c>
      <c r="GA26" s="28">
        <v>47</v>
      </c>
      <c r="GB26" s="198"/>
      <c r="GC26" s="28" t="s">
        <v>901</v>
      </c>
      <c r="GD26" s="28">
        <f>15+48-5</f>
        <v>58</v>
      </c>
      <c r="GE26" s="24"/>
      <c r="GF26" s="182" t="s">
        <v>1036</v>
      </c>
      <c r="GG26" s="182">
        <v>24</v>
      </c>
      <c r="GH26" s="24"/>
      <c r="GI26" s="28"/>
      <c r="GJ26" s="28"/>
      <c r="GK26" s="24"/>
      <c r="GL26" s="28"/>
      <c r="GM26" s="28"/>
      <c r="GN26" s="24"/>
      <c r="GO26" s="28"/>
      <c r="GP26" s="28"/>
      <c r="GQ26" s="24"/>
      <c r="GR26" s="28"/>
      <c r="GS26" s="28"/>
      <c r="GT26" s="24"/>
      <c r="GU26" s="28"/>
      <c r="GV26" s="28"/>
      <c r="GX26" s="28"/>
      <c r="GY26" s="28"/>
      <c r="HA26" s="28"/>
      <c r="HB26" s="28"/>
      <c r="HD26" s="28"/>
      <c r="HE26" s="28"/>
    </row>
    <row r="27" spans="1:213" ht="15.75" customHeight="1" x14ac:dyDescent="0.3">
      <c r="A27" s="16"/>
      <c r="B27" s="16"/>
      <c r="C27" s="16"/>
      <c r="D27" s="16"/>
      <c r="E27" s="16"/>
      <c r="F27" s="16"/>
      <c r="G27" s="16"/>
      <c r="H27" s="16"/>
      <c r="I27" s="16"/>
      <c r="J27" s="16"/>
      <c r="K27" s="16"/>
      <c r="L27" s="16"/>
      <c r="M27" s="16"/>
      <c r="N27" s="16"/>
      <c r="O27" s="16"/>
      <c r="P27" s="16"/>
      <c r="Q27" s="16"/>
      <c r="R27" s="16"/>
      <c r="S27" s="25" t="s">
        <v>326</v>
      </c>
      <c r="T27" s="25">
        <v>28</v>
      </c>
      <c r="U27" s="16"/>
      <c r="V27" s="25" t="s">
        <v>327</v>
      </c>
      <c r="W27" s="25">
        <v>69</v>
      </c>
      <c r="X27" s="16"/>
      <c r="Y27" s="25" t="s">
        <v>328</v>
      </c>
      <c r="Z27" s="25">
        <v>79</v>
      </c>
      <c r="AA27" s="16"/>
      <c r="AB27" s="25" t="s">
        <v>329</v>
      </c>
      <c r="AC27" s="25">
        <v>23</v>
      </c>
      <c r="AD27" s="16"/>
      <c r="AE27" s="25" t="s">
        <v>273</v>
      </c>
      <c r="AF27" s="25">
        <v>15</v>
      </c>
      <c r="AG27" s="16"/>
      <c r="AH27" s="25" t="s">
        <v>184</v>
      </c>
      <c r="AI27" s="25">
        <v>105</v>
      </c>
      <c r="AJ27" s="16"/>
      <c r="AK27" s="16" t="s">
        <v>111</v>
      </c>
      <c r="AL27" s="16"/>
      <c r="AM27" s="16"/>
      <c r="AN27" s="25" t="s">
        <v>330</v>
      </c>
      <c r="AO27" s="25">
        <v>25</v>
      </c>
      <c r="AP27" s="16"/>
      <c r="AQ27" s="16"/>
      <c r="AR27" s="16"/>
      <c r="AS27" s="16"/>
      <c r="AT27" s="16"/>
      <c r="AU27" s="16"/>
      <c r="AV27" s="16"/>
      <c r="AW27" s="25" t="s">
        <v>273</v>
      </c>
      <c r="AX27" s="25">
        <v>15</v>
      </c>
      <c r="AY27" s="16"/>
      <c r="AZ27" s="16" t="s">
        <v>111</v>
      </c>
      <c r="BA27" s="16"/>
      <c r="BB27" s="16"/>
      <c r="BC27" s="25" t="s">
        <v>111</v>
      </c>
      <c r="BD27" s="25">
        <v>118</v>
      </c>
      <c r="BE27" s="16"/>
      <c r="BF27" s="25" t="s">
        <v>331</v>
      </c>
      <c r="BG27" s="25">
        <v>254</v>
      </c>
      <c r="BH27" s="16"/>
      <c r="BI27" s="26" t="s">
        <v>332</v>
      </c>
      <c r="BJ27" s="26">
        <v>0</v>
      </c>
      <c r="BK27" s="16"/>
      <c r="BL27" s="25" t="s">
        <v>333</v>
      </c>
      <c r="BM27" s="25">
        <v>3</v>
      </c>
      <c r="BN27" s="16"/>
      <c r="BO27" s="25" t="s">
        <v>334</v>
      </c>
      <c r="BP27" s="25">
        <v>200</v>
      </c>
      <c r="BQ27" s="16"/>
      <c r="BR27" s="25" t="s">
        <v>184</v>
      </c>
      <c r="BS27" s="25">
        <v>96</v>
      </c>
      <c r="BT27" s="16"/>
      <c r="BU27" s="25" t="s">
        <v>322</v>
      </c>
      <c r="BV27" s="25">
        <v>25</v>
      </c>
      <c r="BW27" s="16"/>
      <c r="BX27" s="16"/>
      <c r="BY27" s="16"/>
      <c r="BZ27" s="16"/>
      <c r="CA27" s="16"/>
      <c r="CB27" s="16"/>
      <c r="CC27" s="16"/>
      <c r="CD27" s="32" t="s">
        <v>335</v>
      </c>
      <c r="CE27" s="24"/>
      <c r="CF27" s="16"/>
      <c r="CG27" s="16"/>
      <c r="CH27" s="16"/>
      <c r="CI27" s="16"/>
      <c r="CJ27" s="16"/>
      <c r="CK27" s="16"/>
      <c r="CL27" s="16"/>
      <c r="CM27" s="16"/>
      <c r="CN27" s="16"/>
      <c r="CO27" s="16"/>
      <c r="CP27" s="16"/>
      <c r="CQ27" s="16"/>
      <c r="CR27" s="16"/>
      <c r="CS27" s="16"/>
      <c r="CT27" s="16"/>
      <c r="CU27" s="16"/>
      <c r="CV27" s="16"/>
      <c r="CW27" s="28" t="s">
        <v>336</v>
      </c>
      <c r="CX27" s="28">
        <v>182</v>
      </c>
      <c r="CY27" s="16"/>
      <c r="CZ27" s="28"/>
      <c r="DA27" s="28"/>
      <c r="DB27" s="16"/>
      <c r="DC27" s="28" t="s">
        <v>337</v>
      </c>
      <c r="DD27" s="28">
        <v>30</v>
      </c>
      <c r="DE27" s="16"/>
      <c r="DF27" s="28" t="s">
        <v>220</v>
      </c>
      <c r="DG27" s="28">
        <v>13</v>
      </c>
      <c r="DH27" s="16"/>
      <c r="DI27" s="28" t="s">
        <v>338</v>
      </c>
      <c r="DJ27" s="28">
        <v>86</v>
      </c>
      <c r="DK27" s="16"/>
      <c r="DL27" s="28" t="s">
        <v>339</v>
      </c>
      <c r="DM27" s="28">
        <v>40</v>
      </c>
      <c r="DN27" s="16"/>
      <c r="DO27" s="28" t="s">
        <v>340</v>
      </c>
      <c r="DP27" s="28">
        <v>117</v>
      </c>
      <c r="DR27" s="28" t="s">
        <v>341</v>
      </c>
      <c r="DS27" s="28">
        <v>52</v>
      </c>
      <c r="DU27" s="28" t="s">
        <v>198</v>
      </c>
      <c r="DV27" s="38">
        <v>75</v>
      </c>
      <c r="DX27" s="28" t="s">
        <v>342</v>
      </c>
      <c r="DY27" s="28">
        <v>133</v>
      </c>
      <c r="EA27" s="28" t="s">
        <v>306</v>
      </c>
      <c r="EB27" s="38">
        <v>20</v>
      </c>
      <c r="EC27" s="1"/>
      <c r="ED27" s="28" t="s">
        <v>343</v>
      </c>
      <c r="EE27" s="38">
        <v>62</v>
      </c>
      <c r="EG27" s="28" t="s">
        <v>344</v>
      </c>
      <c r="EH27" s="28">
        <v>114</v>
      </c>
      <c r="EJ27" s="28" t="s">
        <v>197</v>
      </c>
      <c r="EK27" s="42">
        <v>40</v>
      </c>
      <c r="EL27" s="15"/>
      <c r="EM27" s="15"/>
      <c r="EN27" s="15"/>
      <c r="EO27" s="15"/>
      <c r="EP27" s="28" t="s">
        <v>345</v>
      </c>
      <c r="EQ27" s="38">
        <f>20+7+15+100+252+83</f>
        <v>477</v>
      </c>
      <c r="ER27" s="47"/>
      <c r="ES27" s="28" t="s">
        <v>346</v>
      </c>
      <c r="ET27" s="38">
        <v>11</v>
      </c>
      <c r="EV27" s="28" t="s">
        <v>111</v>
      </c>
      <c r="EW27" s="38">
        <v>15</v>
      </c>
      <c r="EY27" s="28" t="s">
        <v>347</v>
      </c>
      <c r="EZ27" s="28">
        <f>73+5+5+13</f>
        <v>96</v>
      </c>
      <c r="FB27" s="28" t="s">
        <v>245</v>
      </c>
      <c r="FC27" s="28">
        <f>28+28+15+110+18+4+25+22+4+38+40+5+20+50-7</f>
        <v>400</v>
      </c>
      <c r="FE27" s="28" t="s">
        <v>348</v>
      </c>
      <c r="FF27" s="38">
        <f>145+55</f>
        <v>200</v>
      </c>
      <c r="FH27" s="28" t="s">
        <v>349</v>
      </c>
      <c r="FI27" s="38">
        <f>218+170+125+52</f>
        <v>565</v>
      </c>
      <c r="FK27" s="28" t="s">
        <v>350</v>
      </c>
      <c r="FL27" s="38">
        <v>70</v>
      </c>
      <c r="FM27" s="21"/>
      <c r="FN27" s="28" t="s">
        <v>351</v>
      </c>
      <c r="FO27" s="28">
        <f>20+20+30</f>
        <v>70</v>
      </c>
      <c r="FQ27" s="62" t="s">
        <v>352</v>
      </c>
      <c r="FR27" s="62">
        <v>25</v>
      </c>
      <c r="FT27" s="62" t="s">
        <v>273</v>
      </c>
      <c r="FU27" s="62">
        <f>30+8</f>
        <v>38</v>
      </c>
      <c r="FV27" s="20"/>
      <c r="FW27" s="189" t="s">
        <v>836</v>
      </c>
      <c r="FX27" s="28">
        <f>60+60+20+90</f>
        <v>230</v>
      </c>
      <c r="FY27" s="20"/>
      <c r="FZ27" s="28" t="s">
        <v>853</v>
      </c>
      <c r="GA27" s="28">
        <f>30+12+17+18</f>
        <v>77</v>
      </c>
      <c r="GB27" s="1"/>
      <c r="GC27" s="189" t="s">
        <v>903</v>
      </c>
      <c r="GD27" s="189">
        <v>25</v>
      </c>
      <c r="GE27" s="24"/>
      <c r="GF27" s="182" t="s">
        <v>238</v>
      </c>
      <c r="GG27" s="182">
        <f>18+6+9</f>
        <v>33</v>
      </c>
      <c r="GH27" s="1"/>
      <c r="GI27" s="1"/>
      <c r="GJ27" s="1"/>
      <c r="GK27" s="1"/>
      <c r="GL27" s="1"/>
      <c r="GM27" s="1"/>
      <c r="GN27" s="1"/>
      <c r="GO27" s="1"/>
      <c r="GP27" s="1"/>
      <c r="GQ27" s="1"/>
      <c r="GR27" s="1"/>
      <c r="GS27" s="1"/>
      <c r="GT27" s="1"/>
      <c r="GU27" s="1"/>
      <c r="GV27" s="1"/>
      <c r="GX27" s="1"/>
      <c r="GY27" s="1"/>
      <c r="HA27" s="1"/>
      <c r="HB27" s="1"/>
      <c r="HD27" s="1"/>
      <c r="HE27" s="1"/>
    </row>
    <row r="28" spans="1:213" ht="15.75" customHeight="1" x14ac:dyDescent="0.3">
      <c r="A28" s="16"/>
      <c r="B28" s="16"/>
      <c r="C28" s="16"/>
      <c r="D28" s="16"/>
      <c r="E28" s="16"/>
      <c r="F28" s="16"/>
      <c r="G28" s="16"/>
      <c r="H28" s="16"/>
      <c r="I28" s="16"/>
      <c r="J28" s="16"/>
      <c r="K28" s="16"/>
      <c r="L28" s="16"/>
      <c r="M28" s="16"/>
      <c r="N28" s="16"/>
      <c r="O28" s="16"/>
      <c r="P28" s="16"/>
      <c r="Q28" s="16"/>
      <c r="R28" s="16"/>
      <c r="S28" s="25" t="s">
        <v>305</v>
      </c>
      <c r="T28" s="25">
        <v>35</v>
      </c>
      <c r="U28" s="16"/>
      <c r="V28" s="25" t="s">
        <v>353</v>
      </c>
      <c r="W28" s="25">
        <v>4</v>
      </c>
      <c r="X28" s="16"/>
      <c r="Y28" s="25" t="s">
        <v>354</v>
      </c>
      <c r="Z28" s="25">
        <v>42</v>
      </c>
      <c r="AA28" s="16"/>
      <c r="AB28" s="25" t="s">
        <v>355</v>
      </c>
      <c r="AC28" s="25">
        <v>60</v>
      </c>
      <c r="AD28" s="16"/>
      <c r="AE28" s="25" t="s">
        <v>356</v>
      </c>
      <c r="AF28" s="25">
        <v>50</v>
      </c>
      <c r="AG28" s="16"/>
      <c r="AH28" s="25" t="s">
        <v>187</v>
      </c>
      <c r="AI28" s="25">
        <v>85</v>
      </c>
      <c r="AJ28" s="16"/>
      <c r="AK28" s="25" t="s">
        <v>128</v>
      </c>
      <c r="AL28" s="36">
        <v>52</v>
      </c>
      <c r="AM28" s="16"/>
      <c r="AN28" s="16"/>
      <c r="AO28" s="16"/>
      <c r="AP28" s="16"/>
      <c r="AQ28" s="25" t="s">
        <v>357</v>
      </c>
      <c r="AR28" s="25">
        <v>82</v>
      </c>
      <c r="AS28" s="16"/>
      <c r="AT28" s="16" t="s">
        <v>358</v>
      </c>
      <c r="AU28" s="16">
        <v>413</v>
      </c>
      <c r="AV28" s="16"/>
      <c r="AW28" s="25" t="s">
        <v>211</v>
      </c>
      <c r="AX28" s="25">
        <v>20</v>
      </c>
      <c r="AY28" s="16"/>
      <c r="AZ28" s="25" t="s">
        <v>211</v>
      </c>
      <c r="BA28" s="25">
        <v>60</v>
      </c>
      <c r="BB28" s="16"/>
      <c r="BC28" s="25" t="s">
        <v>359</v>
      </c>
      <c r="BD28" s="25">
        <f>12+105+7+109+90</f>
        <v>323</v>
      </c>
      <c r="BE28" s="16"/>
      <c r="BF28" s="66">
        <v>44414</v>
      </c>
      <c r="BG28" s="25">
        <v>11</v>
      </c>
      <c r="BH28" s="16"/>
      <c r="BI28" s="25" t="s">
        <v>360</v>
      </c>
      <c r="BJ28" s="25">
        <v>51</v>
      </c>
      <c r="BK28" s="16"/>
      <c r="BL28" s="25" t="s">
        <v>361</v>
      </c>
      <c r="BM28" s="25">
        <v>20</v>
      </c>
      <c r="BN28" s="16"/>
      <c r="BO28" s="25" t="s">
        <v>362</v>
      </c>
      <c r="BP28" s="25">
        <v>46</v>
      </c>
      <c r="BQ28" s="16"/>
      <c r="BR28" s="25" t="s">
        <v>187</v>
      </c>
      <c r="BS28" s="25">
        <v>95</v>
      </c>
      <c r="BT28" s="16"/>
      <c r="BU28" s="25" t="s">
        <v>363</v>
      </c>
      <c r="BV28" s="25">
        <v>45</v>
      </c>
      <c r="BW28" s="16"/>
      <c r="BX28" s="25" t="s">
        <v>364</v>
      </c>
      <c r="BY28" s="25">
        <f>10+6+33+8</f>
        <v>57</v>
      </c>
      <c r="BZ28" s="16"/>
      <c r="CA28" s="25" t="s">
        <v>365</v>
      </c>
      <c r="CB28" s="25">
        <v>8</v>
      </c>
      <c r="CC28" s="16"/>
      <c r="CD28" s="25" t="s">
        <v>366</v>
      </c>
      <c r="CE28" s="25">
        <f>26+22</f>
        <v>48</v>
      </c>
      <c r="CF28" s="16"/>
      <c r="CG28" s="25" t="s">
        <v>367</v>
      </c>
      <c r="CH28" s="25">
        <v>60</v>
      </c>
      <c r="CI28" s="16"/>
      <c r="CJ28" s="25" t="s">
        <v>368</v>
      </c>
      <c r="CK28" s="25"/>
      <c r="CL28" s="16"/>
      <c r="CM28" s="25" t="s">
        <v>369</v>
      </c>
      <c r="CN28" s="25">
        <v>399</v>
      </c>
      <c r="CO28" s="16"/>
      <c r="CP28" s="16"/>
      <c r="CQ28" s="16"/>
      <c r="CR28" s="16"/>
      <c r="CS28" s="16"/>
      <c r="CT28" s="16"/>
      <c r="CU28" s="16"/>
      <c r="CV28" s="16"/>
      <c r="CW28" s="28" t="s">
        <v>370</v>
      </c>
      <c r="CX28" s="28">
        <v>25</v>
      </c>
      <c r="CY28" s="16"/>
      <c r="CZ28" s="28" t="s">
        <v>371</v>
      </c>
      <c r="DA28" s="28">
        <v>42</v>
      </c>
      <c r="DB28" s="16"/>
      <c r="DC28" s="28" t="s">
        <v>372</v>
      </c>
      <c r="DD28" s="28">
        <v>47</v>
      </c>
      <c r="DE28" s="16"/>
      <c r="DF28" s="28" t="s">
        <v>111</v>
      </c>
      <c r="DG28" s="28">
        <v>40</v>
      </c>
      <c r="DH28" s="16"/>
      <c r="DI28" s="28" t="s">
        <v>373</v>
      </c>
      <c r="DJ28" s="28">
        <v>140</v>
      </c>
      <c r="DK28" s="16"/>
      <c r="DL28" s="28" t="s">
        <v>229</v>
      </c>
      <c r="DM28" s="28">
        <v>80</v>
      </c>
      <c r="DN28" s="16"/>
      <c r="DO28" s="28" t="s">
        <v>374</v>
      </c>
      <c r="DP28" s="28">
        <f>68+10</f>
        <v>78</v>
      </c>
      <c r="DR28" s="28" t="s">
        <v>375</v>
      </c>
      <c r="DS28" s="28">
        <f>15+14</f>
        <v>29</v>
      </c>
      <c r="DU28" s="28" t="s">
        <v>376</v>
      </c>
      <c r="DV28" s="38">
        <v>81</v>
      </c>
      <c r="DX28" s="28" t="s">
        <v>377</v>
      </c>
      <c r="DY28" s="28">
        <v>66</v>
      </c>
      <c r="EA28" s="28" t="s">
        <v>116</v>
      </c>
      <c r="EB28" s="38">
        <f>31+23</f>
        <v>54</v>
      </c>
      <c r="ED28" s="28" t="s">
        <v>378</v>
      </c>
      <c r="EE28" s="28">
        <v>35</v>
      </c>
      <c r="EG28" s="28" t="s">
        <v>379</v>
      </c>
      <c r="EH28" s="38">
        <f>64+20+10</f>
        <v>94</v>
      </c>
      <c r="EJ28" s="28" t="s">
        <v>122</v>
      </c>
      <c r="EK28" s="28">
        <v>318</v>
      </c>
      <c r="EL28" s="15"/>
      <c r="EM28" s="1"/>
      <c r="EN28" s="1"/>
      <c r="EP28" s="28" t="s">
        <v>380</v>
      </c>
      <c r="EQ28" s="38">
        <v>50</v>
      </c>
      <c r="ER28" s="47"/>
      <c r="ES28" s="28" t="s">
        <v>381</v>
      </c>
      <c r="ET28" s="28">
        <v>25</v>
      </c>
      <c r="EV28" s="28" t="s">
        <v>237</v>
      </c>
      <c r="EW28" s="38">
        <v>63</v>
      </c>
      <c r="EY28" s="28" t="s">
        <v>382</v>
      </c>
      <c r="EZ28" s="28">
        <f>21+40+13+21</f>
        <v>95</v>
      </c>
      <c r="FB28" s="28" t="s">
        <v>105</v>
      </c>
      <c r="FC28" s="28">
        <v>20</v>
      </c>
      <c r="FE28" s="28" t="s">
        <v>245</v>
      </c>
      <c r="FF28" s="38">
        <f>93+110+15+30+12</f>
        <v>260</v>
      </c>
      <c r="FH28" s="28" t="s">
        <v>245</v>
      </c>
      <c r="FI28" s="38">
        <f>32+79+20</f>
        <v>131</v>
      </c>
      <c r="FK28" s="28" t="s">
        <v>111</v>
      </c>
      <c r="FL28" s="38">
        <f>125+50+22</f>
        <v>197</v>
      </c>
      <c r="FM28" s="1"/>
      <c r="FN28" s="28" t="s">
        <v>383</v>
      </c>
      <c r="FO28" s="38">
        <v>131</v>
      </c>
      <c r="FQ28" s="62" t="s">
        <v>384</v>
      </c>
      <c r="FR28" s="62">
        <v>41</v>
      </c>
      <c r="FT28" s="62" t="s">
        <v>385</v>
      </c>
      <c r="FU28" s="62">
        <v>185</v>
      </c>
      <c r="FV28" s="24"/>
      <c r="FW28" s="189" t="s">
        <v>847</v>
      </c>
      <c r="FX28" s="28">
        <f>35+19</f>
        <v>54</v>
      </c>
      <c r="FY28" s="24"/>
      <c r="FZ28" s="189" t="s">
        <v>875</v>
      </c>
      <c r="GA28" s="189">
        <f>25+9+20</f>
        <v>54</v>
      </c>
      <c r="GB28" s="1"/>
      <c r="GC28" s="189" t="s">
        <v>904</v>
      </c>
      <c r="GD28" s="189">
        <v>20</v>
      </c>
      <c r="GE28" s="1"/>
      <c r="GF28" s="203" t="s">
        <v>289</v>
      </c>
      <c r="GG28" s="182">
        <v>10</v>
      </c>
      <c r="GH28" s="1"/>
      <c r="GI28" s="1"/>
      <c r="GJ28" s="1"/>
      <c r="GK28" s="1"/>
      <c r="GL28" s="1"/>
      <c r="GM28" s="1"/>
      <c r="GN28" s="1"/>
      <c r="GO28" s="1"/>
      <c r="GP28" s="1"/>
      <c r="GQ28" s="1"/>
      <c r="GR28" s="1"/>
      <c r="GS28" s="1"/>
      <c r="GT28" s="1"/>
      <c r="GU28" s="1"/>
      <c r="GV28" s="1"/>
      <c r="GX28" s="1"/>
      <c r="GY28" s="1"/>
      <c r="HA28" s="1"/>
      <c r="HB28" s="1"/>
      <c r="HD28" s="1"/>
      <c r="HE28" s="1"/>
    </row>
    <row r="29" spans="1:213" ht="15.75" customHeight="1" x14ac:dyDescent="0.3">
      <c r="A29" s="16"/>
      <c r="B29" s="16"/>
      <c r="C29" s="16"/>
      <c r="D29" s="16"/>
      <c r="E29" s="16"/>
      <c r="F29" s="16"/>
      <c r="G29" s="16"/>
      <c r="H29" s="16"/>
      <c r="I29" s="16"/>
      <c r="J29" s="16"/>
      <c r="K29" s="16"/>
      <c r="L29" s="16"/>
      <c r="M29" s="16"/>
      <c r="N29" s="16"/>
      <c r="O29" s="16"/>
      <c r="P29" s="16"/>
      <c r="Q29" s="16"/>
      <c r="R29" s="16"/>
      <c r="S29" s="25" t="s">
        <v>386</v>
      </c>
      <c r="T29" s="25">
        <v>7</v>
      </c>
      <c r="U29" s="16"/>
      <c r="V29" s="25" t="s">
        <v>387</v>
      </c>
      <c r="W29" s="25">
        <v>50</v>
      </c>
      <c r="X29" s="16"/>
      <c r="Y29" s="25" t="s">
        <v>388</v>
      </c>
      <c r="Z29" s="25">
        <v>70</v>
      </c>
      <c r="AA29" s="16"/>
      <c r="AB29" s="25" t="s">
        <v>389</v>
      </c>
      <c r="AC29" s="25">
        <v>151</v>
      </c>
      <c r="AD29" s="16"/>
      <c r="AE29" s="25" t="s">
        <v>390</v>
      </c>
      <c r="AF29" s="25">
        <v>20</v>
      </c>
      <c r="AG29" s="16"/>
      <c r="AH29" s="25" t="s">
        <v>391</v>
      </c>
      <c r="AI29" s="25">
        <v>62</v>
      </c>
      <c r="AJ29" s="16"/>
      <c r="AK29" s="25" t="s">
        <v>392</v>
      </c>
      <c r="AL29" s="36">
        <v>60</v>
      </c>
      <c r="AM29" s="16"/>
      <c r="AN29" s="16"/>
      <c r="AO29" s="16"/>
      <c r="AP29" s="16"/>
      <c r="AQ29" s="25" t="s">
        <v>393</v>
      </c>
      <c r="AR29" s="25">
        <v>20</v>
      </c>
      <c r="AS29" s="16"/>
      <c r="AT29" s="16"/>
      <c r="AU29" s="16"/>
      <c r="AV29" s="16"/>
      <c r="AW29" s="25" t="s">
        <v>394</v>
      </c>
      <c r="AX29" s="25">
        <v>18</v>
      </c>
      <c r="AY29" s="16"/>
      <c r="AZ29" s="25" t="s">
        <v>273</v>
      </c>
      <c r="BA29" s="25">
        <v>15</v>
      </c>
      <c r="BB29" s="16"/>
      <c r="BC29" s="25" t="s">
        <v>395</v>
      </c>
      <c r="BD29" s="25">
        <v>260</v>
      </c>
      <c r="BE29" s="16"/>
      <c r="BF29" s="66">
        <v>44415</v>
      </c>
      <c r="BG29" s="25">
        <f>16+22+10</f>
        <v>48</v>
      </c>
      <c r="BH29" s="16"/>
      <c r="BI29" s="25" t="s">
        <v>396</v>
      </c>
      <c r="BJ29" s="25">
        <v>50</v>
      </c>
      <c r="BK29" s="16"/>
      <c r="BL29" s="25" t="s">
        <v>397</v>
      </c>
      <c r="BM29" s="25">
        <v>350</v>
      </c>
      <c r="BN29" s="16"/>
      <c r="BO29" s="25" t="s">
        <v>398</v>
      </c>
      <c r="BP29" s="25">
        <v>31</v>
      </c>
      <c r="BQ29" s="16"/>
      <c r="BR29" s="25" t="s">
        <v>391</v>
      </c>
      <c r="BS29" s="25">
        <v>90</v>
      </c>
      <c r="BT29" s="16"/>
      <c r="BU29" s="25" t="s">
        <v>399</v>
      </c>
      <c r="BV29" s="25">
        <f>BV54</f>
        <v>223</v>
      </c>
      <c r="BW29" s="16"/>
      <c r="BX29" s="25" t="s">
        <v>400</v>
      </c>
      <c r="BY29" s="25">
        <v>12</v>
      </c>
      <c r="BZ29" s="16"/>
      <c r="CA29" s="25" t="s">
        <v>401</v>
      </c>
      <c r="CB29" s="25">
        <v>5</v>
      </c>
      <c r="CC29" s="16"/>
      <c r="CD29" s="25" t="s">
        <v>402</v>
      </c>
      <c r="CE29" s="25">
        <v>51</v>
      </c>
      <c r="CF29" s="16"/>
      <c r="CG29" s="25" t="s">
        <v>403</v>
      </c>
      <c r="CH29" s="25">
        <f>197+164</f>
        <v>361</v>
      </c>
      <c r="CI29" s="16"/>
      <c r="CJ29" s="25" t="s">
        <v>404</v>
      </c>
      <c r="CK29" s="25">
        <f>15+25+20</f>
        <v>60</v>
      </c>
      <c r="CL29" s="16"/>
      <c r="CM29" s="25" t="s">
        <v>208</v>
      </c>
      <c r="CN29" s="25">
        <f>52+20</f>
        <v>72</v>
      </c>
      <c r="CO29" s="67"/>
      <c r="CP29" s="16"/>
      <c r="CQ29" s="16"/>
      <c r="CR29" s="16"/>
      <c r="CS29" s="16"/>
      <c r="CT29" s="16"/>
      <c r="CU29" s="16"/>
      <c r="CV29" s="16"/>
      <c r="CW29" s="28" t="s">
        <v>405</v>
      </c>
      <c r="CX29" s="28">
        <f>417+106</f>
        <v>523</v>
      </c>
      <c r="CY29" s="16"/>
      <c r="CZ29" s="28" t="s">
        <v>406</v>
      </c>
      <c r="DA29" s="28">
        <v>25</v>
      </c>
      <c r="DB29" s="16"/>
      <c r="DC29" s="28" t="s">
        <v>407</v>
      </c>
      <c r="DD29" s="28">
        <v>39</v>
      </c>
      <c r="DE29" s="16"/>
      <c r="DF29" s="28" t="s">
        <v>408</v>
      </c>
      <c r="DG29" s="28">
        <v>31</v>
      </c>
      <c r="DH29" s="16"/>
      <c r="DI29" s="28" t="s">
        <v>409</v>
      </c>
      <c r="DJ29" s="28">
        <v>37</v>
      </c>
      <c r="DK29" s="16"/>
      <c r="DL29" s="28" t="s">
        <v>410</v>
      </c>
      <c r="DM29" s="28">
        <v>36</v>
      </c>
      <c r="DN29" s="16"/>
      <c r="DO29" s="28" t="s">
        <v>411</v>
      </c>
      <c r="DP29" s="28">
        <v>33</v>
      </c>
      <c r="DR29" s="28" t="s">
        <v>412</v>
      </c>
      <c r="DS29" s="28">
        <v>20</v>
      </c>
      <c r="DU29" s="28" t="s">
        <v>413</v>
      </c>
      <c r="DV29" s="38">
        <v>177</v>
      </c>
      <c r="DX29" s="28" t="s">
        <v>220</v>
      </c>
      <c r="DY29" s="28">
        <f>64-22-22</f>
        <v>20</v>
      </c>
      <c r="EA29" s="28" t="s">
        <v>414</v>
      </c>
      <c r="EB29" s="38">
        <v>25</v>
      </c>
      <c r="ED29" s="28" t="s">
        <v>415</v>
      </c>
      <c r="EE29" s="28">
        <v>59</v>
      </c>
      <c r="EG29" s="28" t="s">
        <v>386</v>
      </c>
      <c r="EH29" s="38">
        <v>32</v>
      </c>
      <c r="EJ29" s="28" t="s">
        <v>325</v>
      </c>
      <c r="EK29" s="28">
        <v>30</v>
      </c>
      <c r="EL29" s="15"/>
      <c r="EM29" s="1"/>
      <c r="EN29" s="1"/>
      <c r="EP29" s="28" t="s">
        <v>416</v>
      </c>
      <c r="EQ29" s="38">
        <v>143</v>
      </c>
      <c r="ER29" s="1"/>
      <c r="ES29" s="28" t="s">
        <v>417</v>
      </c>
      <c r="ET29" s="28">
        <v>13</v>
      </c>
      <c r="EV29" s="28" t="s">
        <v>273</v>
      </c>
      <c r="EW29" s="38">
        <v>16</v>
      </c>
      <c r="EY29" s="28" t="s">
        <v>273</v>
      </c>
      <c r="EZ29" s="28">
        <v>7</v>
      </c>
      <c r="FB29" s="28" t="s">
        <v>418</v>
      </c>
      <c r="FC29" s="28">
        <f>12+6+24+20+5+2+22</f>
        <v>91</v>
      </c>
      <c r="FE29" s="28" t="s">
        <v>419</v>
      </c>
      <c r="FF29" s="38">
        <v>60</v>
      </c>
      <c r="FH29" s="28" t="s">
        <v>420</v>
      </c>
      <c r="FI29" s="38">
        <v>84</v>
      </c>
      <c r="FK29" s="28" t="s">
        <v>245</v>
      </c>
      <c r="FL29" s="38">
        <v>34</v>
      </c>
      <c r="FM29" s="1"/>
      <c r="FN29" s="28" t="s">
        <v>421</v>
      </c>
      <c r="FO29" s="38">
        <f>10+12+26+35+37</f>
        <v>120</v>
      </c>
      <c r="FQ29" s="62" t="s">
        <v>825</v>
      </c>
      <c r="FR29" s="62">
        <f>20+40+33</f>
        <v>93</v>
      </c>
      <c r="FT29" s="62" t="s">
        <v>111</v>
      </c>
      <c r="FU29" s="62">
        <f>51+21</f>
        <v>72</v>
      </c>
      <c r="FV29" s="20"/>
      <c r="FW29" s="189" t="s">
        <v>238</v>
      </c>
      <c r="FX29" s="28">
        <f>33+6+2+24+30+15</f>
        <v>110</v>
      </c>
      <c r="FY29" s="20"/>
      <c r="FZ29" s="189" t="s">
        <v>842</v>
      </c>
      <c r="GA29" s="189">
        <f>7+7</f>
        <v>14</v>
      </c>
      <c r="GB29" s="1"/>
      <c r="GC29" s="189" t="s">
        <v>273</v>
      </c>
      <c r="GD29" s="189">
        <v>18</v>
      </c>
      <c r="GE29" s="1"/>
      <c r="GF29" s="203" t="s">
        <v>1037</v>
      </c>
      <c r="GG29" s="182">
        <v>30</v>
      </c>
      <c r="GH29" s="1"/>
      <c r="GI29" s="1"/>
      <c r="GJ29" s="1"/>
      <c r="GK29" s="1"/>
      <c r="GL29" s="1"/>
      <c r="GM29" s="1"/>
      <c r="GN29" s="1"/>
      <c r="GO29" s="1"/>
      <c r="GP29" s="1"/>
      <c r="GQ29" s="1"/>
      <c r="GR29" s="1"/>
      <c r="GS29" s="1"/>
      <c r="GT29" s="1"/>
      <c r="GU29" s="1"/>
      <c r="GV29" s="1"/>
      <c r="GX29" s="1"/>
      <c r="GY29" s="1"/>
      <c r="HA29" s="1"/>
      <c r="HB29" s="1"/>
      <c r="HD29" s="1"/>
      <c r="HE29" s="1"/>
    </row>
    <row r="30" spans="1:213" ht="15.75" customHeight="1" x14ac:dyDescent="0.3">
      <c r="A30" s="16"/>
      <c r="B30" s="16"/>
      <c r="C30" s="16"/>
      <c r="D30" s="16"/>
      <c r="E30" s="16"/>
      <c r="F30" s="16"/>
      <c r="G30" s="16"/>
      <c r="H30" s="16"/>
      <c r="I30" s="16"/>
      <c r="J30" s="16"/>
      <c r="K30" s="16"/>
      <c r="L30" s="16"/>
      <c r="M30" s="16"/>
      <c r="N30" s="16"/>
      <c r="O30" s="16"/>
      <c r="P30" s="16"/>
      <c r="Q30" s="16"/>
      <c r="R30" s="16"/>
      <c r="S30" s="25" t="s">
        <v>422</v>
      </c>
      <c r="T30" s="25">
        <v>80</v>
      </c>
      <c r="U30" s="16"/>
      <c r="V30" s="25" t="s">
        <v>423</v>
      </c>
      <c r="W30" s="25">
        <v>40</v>
      </c>
      <c r="X30" s="16"/>
      <c r="Y30" s="25" t="s">
        <v>184</v>
      </c>
      <c r="Z30" s="25">
        <v>71</v>
      </c>
      <c r="AA30" s="16"/>
      <c r="AB30" s="25" t="s">
        <v>424</v>
      </c>
      <c r="AC30" s="25">
        <v>376</v>
      </c>
      <c r="AD30" s="16"/>
      <c r="AE30" s="25" t="s">
        <v>425</v>
      </c>
      <c r="AF30" s="25">
        <v>6</v>
      </c>
      <c r="AG30" s="16"/>
      <c r="AH30" s="25" t="s">
        <v>94</v>
      </c>
      <c r="AI30" s="25">
        <v>144</v>
      </c>
      <c r="AJ30" s="16"/>
      <c r="AK30" s="25" t="s">
        <v>426</v>
      </c>
      <c r="AL30" s="36">
        <v>72</v>
      </c>
      <c r="AM30" s="16"/>
      <c r="AN30" s="16" t="s">
        <v>247</v>
      </c>
      <c r="AO30" s="16">
        <f>SUM(AO26:AO29)</f>
        <v>97</v>
      </c>
      <c r="AP30" s="16"/>
      <c r="AQ30" s="25" t="s">
        <v>427</v>
      </c>
      <c r="AR30" s="25">
        <v>150</v>
      </c>
      <c r="AS30" s="16"/>
      <c r="AT30" s="16"/>
      <c r="AU30" s="16"/>
      <c r="AV30" s="16"/>
      <c r="AW30" s="25" t="s">
        <v>111</v>
      </c>
      <c r="AX30" s="25">
        <v>102</v>
      </c>
      <c r="AY30" s="16"/>
      <c r="AZ30" s="25" t="s">
        <v>428</v>
      </c>
      <c r="BA30" s="25">
        <v>10</v>
      </c>
      <c r="BB30" s="16"/>
      <c r="BC30" s="25" t="s">
        <v>429</v>
      </c>
      <c r="BD30" s="25">
        <v>48</v>
      </c>
      <c r="BE30" s="16"/>
      <c r="BF30" s="66">
        <v>44418</v>
      </c>
      <c r="BG30" s="25">
        <v>75</v>
      </c>
      <c r="BH30" s="16"/>
      <c r="BI30" s="25" t="s">
        <v>430</v>
      </c>
      <c r="BJ30" s="25">
        <v>30</v>
      </c>
      <c r="BK30" s="16"/>
      <c r="BL30" s="25" t="s">
        <v>431</v>
      </c>
      <c r="BM30" s="25">
        <v>33</v>
      </c>
      <c r="BN30" s="16"/>
      <c r="BO30" s="25" t="s">
        <v>432</v>
      </c>
      <c r="BP30" s="25">
        <v>100</v>
      </c>
      <c r="BQ30" s="16"/>
      <c r="BR30" s="25" t="s">
        <v>208</v>
      </c>
      <c r="BS30" s="25">
        <v>90</v>
      </c>
      <c r="BT30" s="16"/>
      <c r="BU30" s="25" t="s">
        <v>433</v>
      </c>
      <c r="BV30" s="25">
        <v>90</v>
      </c>
      <c r="BW30" s="16"/>
      <c r="BX30" s="25" t="s">
        <v>232</v>
      </c>
      <c r="BY30" s="25">
        <v>25</v>
      </c>
      <c r="BZ30" s="16"/>
      <c r="CA30" s="25" t="s">
        <v>173</v>
      </c>
      <c r="CB30" s="25">
        <v>16</v>
      </c>
      <c r="CC30" s="16"/>
      <c r="CD30" s="25" t="s">
        <v>434</v>
      </c>
      <c r="CE30" s="25">
        <v>62</v>
      </c>
      <c r="CF30" s="16"/>
      <c r="CG30" s="25" t="s">
        <v>435</v>
      </c>
      <c r="CH30" s="25">
        <v>60</v>
      </c>
      <c r="CI30" s="16"/>
      <c r="CJ30" s="25" t="s">
        <v>404</v>
      </c>
      <c r="CK30" s="25">
        <v>35</v>
      </c>
      <c r="CL30" s="16"/>
      <c r="CM30" s="26" t="s">
        <v>436</v>
      </c>
      <c r="CN30" s="26">
        <f>67+8-30</f>
        <v>45</v>
      </c>
      <c r="CO30" s="16"/>
      <c r="CP30" s="16"/>
      <c r="CQ30" s="16"/>
      <c r="CR30" s="16"/>
      <c r="CS30" s="16"/>
      <c r="CT30" s="16"/>
      <c r="CU30" s="16"/>
      <c r="CV30" s="16"/>
      <c r="CW30" s="28" t="s">
        <v>437</v>
      </c>
      <c r="CX30" s="28">
        <v>20</v>
      </c>
      <c r="CY30" s="16"/>
      <c r="CZ30" s="28" t="s">
        <v>438</v>
      </c>
      <c r="DA30" s="28">
        <v>20</v>
      </c>
      <c r="DB30" s="16"/>
      <c r="DC30" s="28" t="s">
        <v>439</v>
      </c>
      <c r="DD30" s="28">
        <v>90</v>
      </c>
      <c r="DE30" s="16"/>
      <c r="DF30" s="28" t="s">
        <v>440</v>
      </c>
      <c r="DG30" s="28">
        <v>30</v>
      </c>
      <c r="DH30" s="16"/>
      <c r="DI30" s="28" t="s">
        <v>441</v>
      </c>
      <c r="DJ30" s="28">
        <f>97+5</f>
        <v>102</v>
      </c>
      <c r="DK30" s="16"/>
      <c r="DL30" s="28" t="s">
        <v>442</v>
      </c>
      <c r="DM30" s="28">
        <f>3+3+38+53+16+20+36</f>
        <v>169</v>
      </c>
      <c r="DN30" s="16"/>
      <c r="DO30" s="28" t="s">
        <v>443</v>
      </c>
      <c r="DP30" s="28">
        <v>21</v>
      </c>
      <c r="DR30" s="68" t="s">
        <v>444</v>
      </c>
      <c r="DS30" s="28">
        <v>38</v>
      </c>
      <c r="DU30" s="28" t="s">
        <v>440</v>
      </c>
      <c r="DV30" s="38">
        <v>20</v>
      </c>
      <c r="DX30" s="28" t="s">
        <v>445</v>
      </c>
      <c r="DY30" s="28">
        <f>22+14+28+16</f>
        <v>80</v>
      </c>
      <c r="DZ30" s="1"/>
      <c r="EA30" s="69" t="s">
        <v>122</v>
      </c>
      <c r="EB30" s="70">
        <v>-15</v>
      </c>
      <c r="ED30" s="71">
        <v>45234</v>
      </c>
      <c r="EE30" s="28">
        <f>20+5+2</f>
        <v>27</v>
      </c>
      <c r="EG30" s="28" t="s">
        <v>446</v>
      </c>
      <c r="EH30" s="28">
        <v>68</v>
      </c>
      <c r="EJ30" s="28" t="s">
        <v>447</v>
      </c>
      <c r="EK30" s="28">
        <f>84+21</f>
        <v>105</v>
      </c>
      <c r="EL30" s="15"/>
      <c r="EM30" s="1"/>
      <c r="EN30" s="1"/>
      <c r="EP30" s="28" t="s">
        <v>448</v>
      </c>
      <c r="EQ30" s="38">
        <v>30</v>
      </c>
      <c r="ER30" s="1"/>
      <c r="ES30" s="28" t="s">
        <v>238</v>
      </c>
      <c r="ET30" s="28">
        <f>49+17+20+11+10</f>
        <v>107</v>
      </c>
      <c r="EV30" s="28" t="s">
        <v>449</v>
      </c>
      <c r="EW30" s="38">
        <f>50+40+10</f>
        <v>100</v>
      </c>
      <c r="EY30" s="1"/>
      <c r="EZ30" s="1"/>
      <c r="FB30" s="28" t="s">
        <v>128</v>
      </c>
      <c r="FC30" s="28">
        <v>103</v>
      </c>
      <c r="FE30" s="28" t="s">
        <v>450</v>
      </c>
      <c r="FF30" s="38">
        <v>105</v>
      </c>
      <c r="FH30" s="28" t="s">
        <v>273</v>
      </c>
      <c r="FI30" s="38">
        <f>18+7+7</f>
        <v>32</v>
      </c>
      <c r="FK30" s="28" t="s">
        <v>451</v>
      </c>
      <c r="FL30" s="38">
        <v>45</v>
      </c>
      <c r="FM30" s="21"/>
      <c r="FN30" s="28" t="s">
        <v>452</v>
      </c>
      <c r="FO30" s="38">
        <f>47+16+42</f>
        <v>105</v>
      </c>
      <c r="FQ30" s="62" t="s">
        <v>453</v>
      </c>
      <c r="FR30" s="62">
        <v>40</v>
      </c>
      <c r="FT30" s="62" t="s">
        <v>155</v>
      </c>
      <c r="FU30" s="62">
        <v>200</v>
      </c>
      <c r="FV30" s="24"/>
      <c r="FW30" s="189" t="s">
        <v>837</v>
      </c>
      <c r="FX30" s="189">
        <v>25</v>
      </c>
      <c r="FY30" s="24"/>
      <c r="FZ30" s="189" t="s">
        <v>285</v>
      </c>
      <c r="GA30" s="189">
        <f>15+20</f>
        <v>35</v>
      </c>
      <c r="GB30" s="1"/>
      <c r="GC30" s="189" t="s">
        <v>923</v>
      </c>
      <c r="GD30" s="189">
        <v>13</v>
      </c>
      <c r="GE30" s="1"/>
      <c r="GF30" s="203" t="s">
        <v>1038</v>
      </c>
      <c r="GG30" s="182">
        <v>18</v>
      </c>
      <c r="GH30" s="1"/>
      <c r="GI30" s="1"/>
      <c r="GJ30" s="1"/>
      <c r="GK30" s="1"/>
      <c r="GL30" s="1"/>
      <c r="GM30" s="1"/>
      <c r="GN30" s="1"/>
      <c r="GO30" s="1"/>
      <c r="GP30" s="1"/>
      <c r="GQ30" s="1"/>
      <c r="GR30" s="1"/>
      <c r="GS30" s="1"/>
      <c r="GT30" s="1"/>
      <c r="GU30" s="1"/>
      <c r="GV30" s="1"/>
      <c r="GX30" s="1"/>
      <c r="GY30" s="1"/>
      <c r="HA30" s="1"/>
      <c r="HB30" s="1"/>
      <c r="HD30" s="1"/>
      <c r="HE30" s="1"/>
    </row>
    <row r="31" spans="1:213" ht="15.75" customHeight="1" x14ac:dyDescent="0.3">
      <c r="A31" s="16"/>
      <c r="B31" s="16"/>
      <c r="C31" s="16"/>
      <c r="D31" s="16"/>
      <c r="E31" s="16"/>
      <c r="F31" s="16"/>
      <c r="G31" s="16"/>
      <c r="H31" s="16"/>
      <c r="I31" s="16"/>
      <c r="J31" s="16"/>
      <c r="K31" s="16"/>
      <c r="L31" s="16"/>
      <c r="M31" s="16"/>
      <c r="N31" s="16"/>
      <c r="O31" s="16"/>
      <c r="P31" s="16"/>
      <c r="Q31" s="16"/>
      <c r="R31" s="16"/>
      <c r="S31" s="25" t="s">
        <v>454</v>
      </c>
      <c r="T31" s="25">
        <v>72</v>
      </c>
      <c r="U31" s="16"/>
      <c r="V31" s="25" t="s">
        <v>455</v>
      </c>
      <c r="W31" s="25">
        <v>55</v>
      </c>
      <c r="X31" s="16"/>
      <c r="Y31" s="25" t="s">
        <v>456</v>
      </c>
      <c r="Z31" s="25">
        <v>22</v>
      </c>
      <c r="AA31" s="16"/>
      <c r="AB31" s="25" t="s">
        <v>457</v>
      </c>
      <c r="AC31" s="25">
        <v>34</v>
      </c>
      <c r="AD31" s="16"/>
      <c r="AE31" s="25" t="s">
        <v>458</v>
      </c>
      <c r="AF31" s="25">
        <v>22</v>
      </c>
      <c r="AG31" s="16"/>
      <c r="AH31" s="25" t="s">
        <v>459</v>
      </c>
      <c r="AI31" s="25">
        <v>27</v>
      </c>
      <c r="AJ31" s="16"/>
      <c r="AK31" s="72" t="s">
        <v>460</v>
      </c>
      <c r="AL31" s="73">
        <v>100</v>
      </c>
      <c r="AM31" s="16"/>
      <c r="AN31" s="16"/>
      <c r="AO31" s="16"/>
      <c r="AP31" s="16"/>
      <c r="AQ31" s="25" t="s">
        <v>184</v>
      </c>
      <c r="AR31" s="25">
        <v>34</v>
      </c>
      <c r="AS31" s="16"/>
      <c r="AT31" s="16"/>
      <c r="AU31" s="16"/>
      <c r="AV31" s="16"/>
      <c r="AW31" s="16" t="s">
        <v>13</v>
      </c>
      <c r="AX31" s="16">
        <f>SUM(AX27:AX30)</f>
        <v>155</v>
      </c>
      <c r="AY31" s="16"/>
      <c r="AZ31" s="25" t="s">
        <v>461</v>
      </c>
      <c r="BA31" s="25">
        <v>383</v>
      </c>
      <c r="BB31" s="16"/>
      <c r="BC31" s="25" t="s">
        <v>462</v>
      </c>
      <c r="BD31" s="25">
        <v>34</v>
      </c>
      <c r="BE31" s="16"/>
      <c r="BF31" s="74" t="s">
        <v>463</v>
      </c>
      <c r="BG31" s="25">
        <v>31</v>
      </c>
      <c r="BH31" s="16"/>
      <c r="BI31" s="25" t="s">
        <v>464</v>
      </c>
      <c r="BJ31" s="25">
        <f>20+40+6+26+20+8+5</f>
        <v>125</v>
      </c>
      <c r="BK31" s="16"/>
      <c r="BL31" s="66">
        <v>44472</v>
      </c>
      <c r="BM31" s="25">
        <v>20</v>
      </c>
      <c r="BN31" s="16"/>
      <c r="BO31" s="25" t="s">
        <v>465</v>
      </c>
      <c r="BP31" s="25">
        <v>60</v>
      </c>
      <c r="BQ31" s="16"/>
      <c r="BR31" s="25" t="s">
        <v>466</v>
      </c>
      <c r="BS31" s="25">
        <v>25</v>
      </c>
      <c r="BT31" s="16"/>
      <c r="BU31" s="25" t="s">
        <v>467</v>
      </c>
      <c r="BV31" s="25">
        <v>89</v>
      </c>
      <c r="BW31" s="16"/>
      <c r="BX31" s="25" t="s">
        <v>468</v>
      </c>
      <c r="BY31" s="25">
        <v>11</v>
      </c>
      <c r="BZ31" s="16"/>
      <c r="CA31" s="25" t="s">
        <v>469</v>
      </c>
      <c r="CB31" s="25">
        <v>23</v>
      </c>
      <c r="CC31" s="16"/>
      <c r="CD31" s="25" t="s">
        <v>470</v>
      </c>
      <c r="CE31" s="25">
        <v>114</v>
      </c>
      <c r="CF31" s="16"/>
      <c r="CG31" s="25" t="s">
        <v>471</v>
      </c>
      <c r="CH31" s="25">
        <v>34</v>
      </c>
      <c r="CI31" s="16"/>
      <c r="CJ31" s="25" t="s">
        <v>472</v>
      </c>
      <c r="CK31" s="25">
        <v>46</v>
      </c>
      <c r="CL31" s="16"/>
      <c r="CM31" s="25" t="s">
        <v>473</v>
      </c>
      <c r="CN31" s="25">
        <f>124/2</f>
        <v>62</v>
      </c>
      <c r="CO31" s="16"/>
      <c r="CP31" s="16"/>
      <c r="CQ31" s="16"/>
      <c r="CR31" s="16"/>
      <c r="CS31" s="16"/>
      <c r="CT31" s="16"/>
      <c r="CU31" s="16"/>
      <c r="CV31" s="16"/>
      <c r="CW31" s="28" t="s">
        <v>474</v>
      </c>
      <c r="CX31" s="28">
        <v>41</v>
      </c>
      <c r="CY31" s="16"/>
      <c r="CZ31" s="16"/>
      <c r="DA31" s="16"/>
      <c r="DB31" s="16"/>
      <c r="DC31" s="28" t="s">
        <v>475</v>
      </c>
      <c r="DD31" s="28">
        <v>61</v>
      </c>
      <c r="DE31" s="16"/>
      <c r="DF31" s="28" t="s">
        <v>476</v>
      </c>
      <c r="DG31" s="28">
        <v>68</v>
      </c>
      <c r="DH31" s="16"/>
      <c r="DI31" s="28" t="s">
        <v>477</v>
      </c>
      <c r="DJ31" s="28">
        <v>80</v>
      </c>
      <c r="DK31" s="16"/>
      <c r="DL31" s="28" t="s">
        <v>478</v>
      </c>
      <c r="DM31" s="28">
        <f>28+29+27+10+10+2</f>
        <v>106</v>
      </c>
      <c r="DN31" s="16"/>
      <c r="DO31" s="28" t="s">
        <v>479</v>
      </c>
      <c r="DP31" s="28">
        <v>140</v>
      </c>
      <c r="DR31" s="68" t="s">
        <v>480</v>
      </c>
      <c r="DS31" s="28">
        <v>90</v>
      </c>
      <c r="DU31" s="28" t="s">
        <v>481</v>
      </c>
      <c r="DV31" s="38">
        <v>65</v>
      </c>
      <c r="DX31" s="28" t="s">
        <v>482</v>
      </c>
      <c r="DY31" s="38">
        <f>31+27</f>
        <v>58</v>
      </c>
      <c r="DZ31" s="1"/>
      <c r="EA31" s="28" t="s">
        <v>483</v>
      </c>
      <c r="EB31" s="38">
        <v>30</v>
      </c>
      <c r="EC31" s="1"/>
      <c r="ED31" s="71" t="s">
        <v>484</v>
      </c>
      <c r="EE31" s="28">
        <v>52</v>
      </c>
      <c r="EG31" s="28" t="s">
        <v>344</v>
      </c>
      <c r="EH31" s="28">
        <f>150-87+6</f>
        <v>69</v>
      </c>
      <c r="EJ31" s="28" t="s">
        <v>485</v>
      </c>
      <c r="EK31" s="28">
        <v>24</v>
      </c>
      <c r="EL31" s="15"/>
      <c r="EM31" s="1"/>
      <c r="EN31" s="1"/>
      <c r="EP31" s="28" t="s">
        <v>486</v>
      </c>
      <c r="EQ31" s="38">
        <v>96</v>
      </c>
      <c r="ER31" s="1"/>
      <c r="ES31" s="28" t="s">
        <v>487</v>
      </c>
      <c r="ET31" s="28">
        <v>49</v>
      </c>
      <c r="EV31" s="28" t="s">
        <v>208</v>
      </c>
      <c r="EW31" s="38">
        <v>11</v>
      </c>
      <c r="EY31" s="1"/>
      <c r="EZ31" s="1"/>
      <c r="FB31" s="28" t="s">
        <v>273</v>
      </c>
      <c r="FC31" s="28">
        <v>30</v>
      </c>
      <c r="FE31" s="28" t="s">
        <v>488</v>
      </c>
      <c r="FF31" s="38">
        <f>40+10+60+24</f>
        <v>134</v>
      </c>
      <c r="FH31" s="28" t="s">
        <v>300</v>
      </c>
      <c r="FI31" s="38">
        <v>232</v>
      </c>
      <c r="FK31" s="28" t="s">
        <v>489</v>
      </c>
      <c r="FL31" s="38">
        <v>21</v>
      </c>
      <c r="FM31" s="1"/>
      <c r="FN31" s="28" t="s">
        <v>490</v>
      </c>
      <c r="FO31" s="38">
        <v>27</v>
      </c>
      <c r="FQ31" s="62" t="s">
        <v>234</v>
      </c>
      <c r="FR31" s="62">
        <f>25+30+20+12</f>
        <v>87</v>
      </c>
      <c r="FT31" s="179" t="s">
        <v>825</v>
      </c>
      <c r="FU31" s="179">
        <f>106+8+60+28+74+38+39+4</f>
        <v>357</v>
      </c>
      <c r="FV31" s="20"/>
      <c r="FW31" s="189" t="s">
        <v>838</v>
      </c>
      <c r="FX31" s="189">
        <v>3000</v>
      </c>
      <c r="FY31" s="20"/>
      <c r="FZ31" s="189" t="s">
        <v>858</v>
      </c>
      <c r="GA31" s="189">
        <f>171+65+292+66+2824+251+22+19+82+250+46+32</f>
        <v>4120</v>
      </c>
      <c r="GB31" s="1"/>
      <c r="GC31" s="189" t="s">
        <v>109</v>
      </c>
      <c r="GD31" s="189">
        <f>439-79</f>
        <v>360</v>
      </c>
      <c r="GE31" s="1"/>
      <c r="GF31" s="203" t="s">
        <v>1039</v>
      </c>
      <c r="GG31" s="182">
        <v>20</v>
      </c>
      <c r="GH31" s="1"/>
      <c r="GI31" s="1"/>
      <c r="GJ31" s="1"/>
      <c r="GK31" s="1"/>
      <c r="GL31" s="1"/>
      <c r="GM31" s="1"/>
      <c r="GN31" s="1"/>
      <c r="GO31" s="1"/>
      <c r="GP31" s="1"/>
      <c r="GQ31" s="1"/>
      <c r="GR31" s="1"/>
      <c r="GS31" s="1"/>
      <c r="GT31" s="1"/>
      <c r="GU31" s="1"/>
      <c r="GV31" s="1"/>
      <c r="GX31" s="1"/>
      <c r="GY31" s="1"/>
      <c r="HA31" s="1"/>
      <c r="HB31" s="1"/>
      <c r="HD31" s="1"/>
      <c r="HE31" s="1"/>
    </row>
    <row r="32" spans="1:213" ht="15" customHeight="1" x14ac:dyDescent="0.3">
      <c r="A32" s="16"/>
      <c r="B32" s="16"/>
      <c r="C32" s="16"/>
      <c r="D32" s="16"/>
      <c r="E32" s="16"/>
      <c r="F32" s="16"/>
      <c r="G32" s="16"/>
      <c r="H32" s="16"/>
      <c r="I32" s="16"/>
      <c r="J32" s="16"/>
      <c r="K32" s="16"/>
      <c r="L32" s="16"/>
      <c r="M32" s="16"/>
      <c r="N32" s="16"/>
      <c r="O32" s="16"/>
      <c r="P32" s="16"/>
      <c r="Q32" s="16"/>
      <c r="R32" s="16"/>
      <c r="S32" s="25" t="s">
        <v>491</v>
      </c>
      <c r="T32" s="25">
        <v>65</v>
      </c>
      <c r="U32" s="16"/>
      <c r="V32" s="25" t="s">
        <v>492</v>
      </c>
      <c r="W32" s="25">
        <v>14</v>
      </c>
      <c r="X32" s="16"/>
      <c r="Y32" s="25" t="s">
        <v>493</v>
      </c>
      <c r="Z32" s="25">
        <v>24</v>
      </c>
      <c r="AA32" s="16"/>
      <c r="AB32" s="25" t="s">
        <v>268</v>
      </c>
      <c r="AC32" s="25">
        <v>45</v>
      </c>
      <c r="AD32" s="16"/>
      <c r="AE32" s="25" t="s">
        <v>494</v>
      </c>
      <c r="AF32" s="25">
        <v>257</v>
      </c>
      <c r="AG32" s="16"/>
      <c r="AH32" s="25" t="s">
        <v>431</v>
      </c>
      <c r="AI32" s="25">
        <v>23</v>
      </c>
      <c r="AJ32" s="16"/>
      <c r="AK32" s="25" t="s">
        <v>495</v>
      </c>
      <c r="AL32" s="36">
        <v>135</v>
      </c>
      <c r="AM32" s="16"/>
      <c r="AN32" s="16"/>
      <c r="AO32" s="16"/>
      <c r="AP32" s="16"/>
      <c r="AQ32" s="25" t="s">
        <v>111</v>
      </c>
      <c r="AR32" s="25">
        <v>173</v>
      </c>
      <c r="AS32" s="16"/>
      <c r="AT32" s="16" t="s">
        <v>496</v>
      </c>
      <c r="AU32" s="16">
        <v>453</v>
      </c>
      <c r="AV32" s="16"/>
      <c r="AW32" s="16"/>
      <c r="AX32" s="16"/>
      <c r="AY32" s="16"/>
      <c r="AZ32" s="25" t="s">
        <v>497</v>
      </c>
      <c r="BA32" s="25">
        <v>132</v>
      </c>
      <c r="BB32" s="16"/>
      <c r="BC32" s="25" t="s">
        <v>197</v>
      </c>
      <c r="BD32" s="25">
        <v>70</v>
      </c>
      <c r="BE32" s="16"/>
      <c r="BF32" s="25" t="s">
        <v>498</v>
      </c>
      <c r="BG32" s="25">
        <v>40</v>
      </c>
      <c r="BH32" s="16"/>
      <c r="BI32" s="25" t="s">
        <v>499</v>
      </c>
      <c r="BJ32" s="25">
        <v>50</v>
      </c>
      <c r="BK32" s="16"/>
      <c r="BL32" s="25" t="s">
        <v>500</v>
      </c>
      <c r="BM32" s="25">
        <v>10</v>
      </c>
      <c r="BN32" s="16"/>
      <c r="BO32" s="25" t="s">
        <v>501</v>
      </c>
      <c r="BP32" s="25">
        <v>20</v>
      </c>
      <c r="BQ32" s="16"/>
      <c r="BR32" s="25" t="s">
        <v>502</v>
      </c>
      <c r="BS32" s="25">
        <v>25</v>
      </c>
      <c r="BT32" s="16"/>
      <c r="BU32" s="25" t="s">
        <v>503</v>
      </c>
      <c r="BV32" s="25">
        <v>93</v>
      </c>
      <c r="BW32" s="16"/>
      <c r="BX32" s="25" t="s">
        <v>504</v>
      </c>
      <c r="BY32" s="25">
        <f>16+10+6+7+7</f>
        <v>46</v>
      </c>
      <c r="BZ32" s="16"/>
      <c r="CA32" s="25" t="s">
        <v>505</v>
      </c>
      <c r="CB32" s="25">
        <v>40</v>
      </c>
      <c r="CC32" s="16"/>
      <c r="CD32" s="25" t="s">
        <v>506</v>
      </c>
      <c r="CE32" s="25">
        <v>56</v>
      </c>
      <c r="CF32" s="16"/>
      <c r="CG32" s="25" t="s">
        <v>394</v>
      </c>
      <c r="CH32" s="25">
        <v>267</v>
      </c>
      <c r="CI32" s="16"/>
      <c r="CJ32" s="25" t="s">
        <v>507</v>
      </c>
      <c r="CK32" s="25">
        <f>10+20</f>
        <v>30</v>
      </c>
      <c r="CL32" s="16"/>
      <c r="CM32" s="25" t="s">
        <v>117</v>
      </c>
      <c r="CN32" s="25">
        <v>10</v>
      </c>
      <c r="CO32" s="16"/>
      <c r="CP32" s="16"/>
      <c r="CQ32" s="16"/>
      <c r="CR32" s="16"/>
      <c r="CS32" s="16"/>
      <c r="CT32" s="16"/>
      <c r="CU32" s="16"/>
      <c r="CV32" s="16"/>
      <c r="CW32" s="28" t="s">
        <v>175</v>
      </c>
      <c r="CX32" s="28">
        <v>144</v>
      </c>
      <c r="CY32" s="16"/>
      <c r="CZ32" s="16"/>
      <c r="DA32" s="16"/>
      <c r="DB32" s="16"/>
      <c r="DC32" s="28" t="s">
        <v>508</v>
      </c>
      <c r="DD32" s="28">
        <v>37</v>
      </c>
      <c r="DE32" s="16"/>
      <c r="DF32" s="28" t="s">
        <v>509</v>
      </c>
      <c r="DG32" s="28">
        <f>80+60</f>
        <v>140</v>
      </c>
      <c r="DH32" s="16"/>
      <c r="DI32" s="28"/>
      <c r="DJ32" s="28"/>
      <c r="DK32" s="16"/>
      <c r="DL32" s="28" t="s">
        <v>128</v>
      </c>
      <c r="DM32" s="28">
        <f>435-150-50-50</f>
        <v>185</v>
      </c>
      <c r="DN32" s="16"/>
      <c r="DO32" s="28" t="s">
        <v>510</v>
      </c>
      <c r="DP32" s="28">
        <v>35</v>
      </c>
      <c r="DR32" s="28" t="s">
        <v>511</v>
      </c>
      <c r="DS32" s="28"/>
      <c r="DU32" s="28" t="s">
        <v>512</v>
      </c>
      <c r="DV32" s="38">
        <v>142</v>
      </c>
      <c r="DX32" s="28" t="s">
        <v>390</v>
      </c>
      <c r="DY32" s="38">
        <v>26</v>
      </c>
      <c r="DZ32" s="1"/>
      <c r="EA32" s="28" t="s">
        <v>513</v>
      </c>
      <c r="EB32" s="38">
        <v>101</v>
      </c>
      <c r="ED32" s="75" t="s">
        <v>514</v>
      </c>
      <c r="EE32" s="75">
        <v>178</v>
      </c>
      <c r="EG32" s="75" t="s">
        <v>514</v>
      </c>
      <c r="EH32" s="75">
        <v>80</v>
      </c>
      <c r="EJ32" s="28" t="s">
        <v>515</v>
      </c>
      <c r="EK32" s="28">
        <f>207-20</f>
        <v>187</v>
      </c>
      <c r="EL32" s="15"/>
      <c r="EM32" s="1"/>
      <c r="EN32" s="1"/>
      <c r="EP32" s="28" t="s">
        <v>346</v>
      </c>
      <c r="EQ32" s="38">
        <v>11</v>
      </c>
      <c r="ER32" s="15"/>
      <c r="ES32" s="28" t="s">
        <v>516</v>
      </c>
      <c r="ET32" s="28">
        <f>75+12</f>
        <v>87</v>
      </c>
      <c r="EV32" s="1"/>
      <c r="EW32" s="1"/>
      <c r="EY32" s="1"/>
      <c r="EZ32" s="1"/>
      <c r="FB32" s="28" t="s">
        <v>517</v>
      </c>
      <c r="FC32" s="28">
        <v>19</v>
      </c>
      <c r="FE32" s="28" t="s">
        <v>518</v>
      </c>
      <c r="FF32" s="38">
        <f>12+2</f>
        <v>14</v>
      </c>
      <c r="FH32" s="28" t="s">
        <v>519</v>
      </c>
      <c r="FI32" s="38">
        <v>88</v>
      </c>
      <c r="FK32" s="28" t="s">
        <v>226</v>
      </c>
      <c r="FL32" s="38">
        <v>30</v>
      </c>
      <c r="FN32" s="28" t="s">
        <v>520</v>
      </c>
      <c r="FO32" s="38">
        <f>50+20+195+5+65</f>
        <v>335</v>
      </c>
      <c r="FQ32" s="62" t="s">
        <v>521</v>
      </c>
      <c r="FR32" s="62">
        <v>60</v>
      </c>
      <c r="FT32" s="179" t="s">
        <v>238</v>
      </c>
      <c r="FU32" s="179">
        <f>25+5+26+5+8+18+10</f>
        <v>97</v>
      </c>
      <c r="FV32" s="24"/>
      <c r="FW32" s="189" t="s">
        <v>839</v>
      </c>
      <c r="FX32" s="189">
        <v>162</v>
      </c>
      <c r="FY32" s="24"/>
      <c r="FZ32" s="189" t="s">
        <v>683</v>
      </c>
      <c r="GA32" s="189">
        <v>100</v>
      </c>
      <c r="GB32" s="1"/>
      <c r="GC32" s="189" t="s">
        <v>105</v>
      </c>
      <c r="GD32" s="189">
        <v>17</v>
      </c>
      <c r="GE32" s="1"/>
      <c r="GF32" s="203" t="s">
        <v>1040</v>
      </c>
      <c r="GG32" s="182">
        <v>25</v>
      </c>
      <c r="GH32" s="1"/>
      <c r="GI32" s="1"/>
      <c r="GJ32" s="1"/>
      <c r="GK32" s="1"/>
      <c r="GL32" s="1"/>
      <c r="GM32" s="1"/>
      <c r="GN32" s="1"/>
      <c r="GO32" s="1"/>
      <c r="GP32" s="1"/>
      <c r="GQ32" s="1"/>
      <c r="GR32" s="1"/>
      <c r="GS32" s="1"/>
      <c r="GT32" s="1"/>
      <c r="GU32" s="1"/>
      <c r="GV32" s="1"/>
      <c r="GX32" s="1"/>
      <c r="GY32" s="1"/>
      <c r="HA32" s="1"/>
      <c r="HB32" s="1"/>
      <c r="HD32" s="1"/>
      <c r="HE32" s="1"/>
    </row>
    <row r="33" spans="1:213" ht="15" customHeight="1" x14ac:dyDescent="0.3">
      <c r="A33" s="16"/>
      <c r="B33" s="16"/>
      <c r="C33" s="16"/>
      <c r="D33" s="16"/>
      <c r="E33" s="16"/>
      <c r="F33" s="16"/>
      <c r="G33" s="16"/>
      <c r="H33" s="16"/>
      <c r="I33" s="16"/>
      <c r="J33" s="16"/>
      <c r="K33" s="16"/>
      <c r="L33" s="16"/>
      <c r="M33" s="16"/>
      <c r="N33" s="16"/>
      <c r="O33" s="16"/>
      <c r="P33" s="16"/>
      <c r="Q33" s="16"/>
      <c r="R33" s="16"/>
      <c r="S33" s="25" t="s">
        <v>522</v>
      </c>
      <c r="T33" s="25">
        <v>42</v>
      </c>
      <c r="U33" s="16"/>
      <c r="V33" s="25" t="s">
        <v>523</v>
      </c>
      <c r="W33" s="25">
        <v>6</v>
      </c>
      <c r="X33" s="16"/>
      <c r="Y33" s="25" t="s">
        <v>524</v>
      </c>
      <c r="Z33" s="25">
        <f>SUM(Z26:Z32)</f>
        <v>328</v>
      </c>
      <c r="AA33" s="16"/>
      <c r="AB33" s="25" t="s">
        <v>524</v>
      </c>
      <c r="AC33" s="25">
        <f>SUM(AC25:AC32)</f>
        <v>739</v>
      </c>
      <c r="AD33" s="16"/>
      <c r="AE33" s="25" t="s">
        <v>524</v>
      </c>
      <c r="AF33" s="25">
        <f>SUM(AF25:AF32)</f>
        <v>384</v>
      </c>
      <c r="AG33" s="16"/>
      <c r="AH33" s="25" t="s">
        <v>525</v>
      </c>
      <c r="AI33" s="25">
        <v>17</v>
      </c>
      <c r="AJ33" s="16"/>
      <c r="AK33" s="25" t="s">
        <v>526</v>
      </c>
      <c r="AL33" s="36">
        <v>45</v>
      </c>
      <c r="AM33" s="16"/>
      <c r="AN33" s="16"/>
      <c r="AO33" s="16"/>
      <c r="AP33" s="16"/>
      <c r="AQ33" s="25" t="s">
        <v>527</v>
      </c>
      <c r="AR33" s="25">
        <v>50</v>
      </c>
      <c r="AS33" s="16"/>
      <c r="AT33" s="16"/>
      <c r="AU33" s="16"/>
      <c r="AV33" s="16"/>
      <c r="AW33" s="16"/>
      <c r="AX33" s="16"/>
      <c r="AY33" s="16"/>
      <c r="AZ33" s="25" t="s">
        <v>528</v>
      </c>
      <c r="BA33" s="25">
        <v>38</v>
      </c>
      <c r="BB33" s="16"/>
      <c r="BC33" s="25" t="s">
        <v>529</v>
      </c>
      <c r="BD33" s="25">
        <f>30+7+54+8+120+36</f>
        <v>255</v>
      </c>
      <c r="BE33" s="16"/>
      <c r="BF33" s="25" t="s">
        <v>530</v>
      </c>
      <c r="BG33" s="25">
        <v>50</v>
      </c>
      <c r="BH33" s="16"/>
      <c r="BI33" s="25" t="s">
        <v>531</v>
      </c>
      <c r="BJ33" s="25">
        <v>15</v>
      </c>
      <c r="BK33" s="16"/>
      <c r="BL33" s="25" t="s">
        <v>532</v>
      </c>
      <c r="BM33" s="25">
        <v>30</v>
      </c>
      <c r="BN33" s="16"/>
      <c r="BO33" s="25" t="s">
        <v>533</v>
      </c>
      <c r="BP33" s="25">
        <v>67</v>
      </c>
      <c r="BQ33" s="16"/>
      <c r="BR33" s="25" t="s">
        <v>98</v>
      </c>
      <c r="BS33" s="25">
        <v>25</v>
      </c>
      <c r="BT33" s="16"/>
      <c r="BU33" s="25" t="s">
        <v>534</v>
      </c>
      <c r="BV33" s="25">
        <v>20</v>
      </c>
      <c r="BW33" s="16"/>
      <c r="BX33" s="25" t="s">
        <v>535</v>
      </c>
      <c r="BY33" s="25">
        <f>14+22+20+7+20</f>
        <v>83</v>
      </c>
      <c r="BZ33" s="16"/>
      <c r="CA33" s="25" t="s">
        <v>536</v>
      </c>
      <c r="CB33" s="25">
        <v>11</v>
      </c>
      <c r="CC33" s="16"/>
      <c r="CD33" s="25" t="s">
        <v>190</v>
      </c>
      <c r="CE33" s="25">
        <v>20</v>
      </c>
      <c r="CF33" s="16"/>
      <c r="CG33" s="76">
        <v>44689</v>
      </c>
      <c r="CH33" s="25">
        <v>140</v>
      </c>
      <c r="CI33" s="16"/>
      <c r="CJ33" s="76" t="s">
        <v>537</v>
      </c>
      <c r="CK33" s="25">
        <v>24</v>
      </c>
      <c r="CL33" s="16"/>
      <c r="CM33" s="76" t="s">
        <v>394</v>
      </c>
      <c r="CN33" s="25">
        <v>10</v>
      </c>
      <c r="CO33" s="16"/>
      <c r="CP33" s="16"/>
      <c r="CQ33" s="16"/>
      <c r="CR33" s="16"/>
      <c r="CS33" s="16"/>
      <c r="CT33" s="16"/>
      <c r="CU33" s="16"/>
      <c r="CV33" s="16"/>
      <c r="CW33" s="28" t="s">
        <v>538</v>
      </c>
      <c r="CX33" s="28">
        <v>21</v>
      </c>
      <c r="CY33" s="16"/>
      <c r="CZ33" s="16"/>
      <c r="DA33" s="16"/>
      <c r="DB33" s="16"/>
      <c r="DC33" s="28" t="s">
        <v>539</v>
      </c>
      <c r="DD33" s="28">
        <v>75</v>
      </c>
      <c r="DE33" s="16"/>
      <c r="DF33" s="28" t="s">
        <v>540</v>
      </c>
      <c r="DG33" s="28">
        <v>30</v>
      </c>
      <c r="DH33" s="16"/>
      <c r="DI33" s="28" t="s">
        <v>541</v>
      </c>
      <c r="DJ33" s="28">
        <f>137+28+27+30+2</f>
        <v>224</v>
      </c>
      <c r="DK33" s="16"/>
      <c r="DL33" s="28" t="s">
        <v>542</v>
      </c>
      <c r="DM33" s="28">
        <v>58</v>
      </c>
      <c r="DN33" s="16"/>
      <c r="DO33" s="28" t="s">
        <v>543</v>
      </c>
      <c r="DP33" s="28">
        <v>77</v>
      </c>
      <c r="DR33" s="28" t="s">
        <v>544</v>
      </c>
      <c r="DS33" s="28">
        <f>17+8+10+43+40-18-20</f>
        <v>80</v>
      </c>
      <c r="DU33" s="28" t="s">
        <v>111</v>
      </c>
      <c r="DV33" s="38">
        <f>52+6+11</f>
        <v>69</v>
      </c>
      <c r="DX33" s="28" t="s">
        <v>545</v>
      </c>
      <c r="DY33" s="38">
        <v>50</v>
      </c>
      <c r="DZ33" s="1"/>
      <c r="EA33" s="28" t="s">
        <v>546</v>
      </c>
      <c r="EB33" s="38">
        <v>21</v>
      </c>
      <c r="ED33" s="28" t="s">
        <v>547</v>
      </c>
      <c r="EE33" s="28">
        <v>41</v>
      </c>
      <c r="EG33" s="28" t="s">
        <v>548</v>
      </c>
      <c r="EH33" s="38">
        <f>18+24</f>
        <v>42</v>
      </c>
      <c r="EJ33" s="28" t="s">
        <v>111</v>
      </c>
      <c r="EK33" s="28">
        <v>65</v>
      </c>
      <c r="EL33" s="15"/>
      <c r="EM33" s="1"/>
      <c r="EN33" s="1"/>
      <c r="EP33" s="28" t="s">
        <v>549</v>
      </c>
      <c r="EQ33" s="38">
        <v>71</v>
      </c>
      <c r="ER33" s="15"/>
      <c r="ES33" s="28" t="s">
        <v>305</v>
      </c>
      <c r="ET33" s="28">
        <f>50-20</f>
        <v>30</v>
      </c>
      <c r="EV33" s="1"/>
      <c r="EW33" s="1"/>
      <c r="EY33" s="1"/>
      <c r="EZ33" s="1"/>
      <c r="FB33" s="28" t="s">
        <v>550</v>
      </c>
      <c r="FC33" s="28">
        <v>230</v>
      </c>
      <c r="FD33" s="77"/>
      <c r="FE33" s="28" t="s">
        <v>551</v>
      </c>
      <c r="FF33" s="38">
        <f>30+10</f>
        <v>40</v>
      </c>
      <c r="FH33" s="28" t="s">
        <v>552</v>
      </c>
      <c r="FI33" s="38">
        <f>66+8+2+17</f>
        <v>93</v>
      </c>
      <c r="FK33" s="28" t="s">
        <v>132</v>
      </c>
      <c r="FL33" s="38">
        <v>65</v>
      </c>
      <c r="FN33" s="28" t="s">
        <v>198</v>
      </c>
      <c r="FO33" s="38">
        <f>5550-42</f>
        <v>5508</v>
      </c>
      <c r="FQ33" s="62" t="s">
        <v>155</v>
      </c>
      <c r="FR33" s="62">
        <v>12</v>
      </c>
      <c r="FT33" s="179" t="s">
        <v>820</v>
      </c>
      <c r="FU33" s="179">
        <f>8+8</f>
        <v>16</v>
      </c>
      <c r="FV33" s="20"/>
      <c r="FW33" s="189" t="s">
        <v>840</v>
      </c>
      <c r="FX33" s="189">
        <f>504-40</f>
        <v>464</v>
      </c>
      <c r="FY33" s="20"/>
      <c r="FZ33" s="189" t="s">
        <v>261</v>
      </c>
      <c r="GA33" s="189">
        <f>300+26+5+8</f>
        <v>339</v>
      </c>
      <c r="GB33" s="1"/>
      <c r="GC33" s="189" t="s">
        <v>1029</v>
      </c>
      <c r="GD33" s="189">
        <v>30</v>
      </c>
      <c r="GE33" s="1"/>
      <c r="GF33" s="203" t="s">
        <v>858</v>
      </c>
      <c r="GG33" s="182">
        <f>27+361+339</f>
        <v>727</v>
      </c>
      <c r="GH33" s="1"/>
      <c r="GI33" s="1"/>
      <c r="GJ33" s="1"/>
      <c r="GK33" s="1"/>
      <c r="GL33" s="1"/>
      <c r="GM33" s="1"/>
      <c r="GN33" s="1"/>
      <c r="GO33" s="1"/>
      <c r="GP33" s="1"/>
      <c r="GQ33" s="1"/>
      <c r="GR33" s="1"/>
      <c r="GS33" s="1"/>
      <c r="GT33" s="1"/>
      <c r="GU33" s="1"/>
      <c r="GV33" s="1"/>
      <c r="GX33" s="1"/>
      <c r="GY33" s="1"/>
      <c r="HA33" s="1"/>
      <c r="HB33" s="1"/>
      <c r="HD33" s="1"/>
      <c r="HE33" s="1"/>
    </row>
    <row r="34" spans="1:213" ht="15.75" customHeight="1" x14ac:dyDescent="0.3">
      <c r="A34" s="16"/>
      <c r="B34" s="16"/>
      <c r="C34" s="16"/>
      <c r="D34" s="16"/>
      <c r="E34" s="16"/>
      <c r="F34" s="16"/>
      <c r="G34" s="16"/>
      <c r="H34" s="16"/>
      <c r="I34" s="16"/>
      <c r="J34" s="16"/>
      <c r="K34" s="16"/>
      <c r="L34" s="16"/>
      <c r="M34" s="16"/>
      <c r="N34" s="16"/>
      <c r="O34" s="16"/>
      <c r="P34" s="16"/>
      <c r="Q34" s="16"/>
      <c r="R34" s="16"/>
      <c r="S34" s="25" t="s">
        <v>553</v>
      </c>
      <c r="T34" s="25">
        <v>145</v>
      </c>
      <c r="U34" s="16"/>
      <c r="V34" s="25" t="s">
        <v>554</v>
      </c>
      <c r="W34" s="25">
        <v>18</v>
      </c>
      <c r="X34" s="16"/>
      <c r="Y34" s="16"/>
      <c r="Z34" s="16"/>
      <c r="AA34" s="16"/>
      <c r="AB34" s="16"/>
      <c r="AC34" s="16"/>
      <c r="AD34" s="16"/>
      <c r="AE34" s="16"/>
      <c r="AF34" s="16"/>
      <c r="AG34" s="16"/>
      <c r="AH34" s="25" t="s">
        <v>555</v>
      </c>
      <c r="AI34" s="25">
        <v>23</v>
      </c>
      <c r="AJ34" s="16"/>
      <c r="AK34" s="25" t="s">
        <v>556</v>
      </c>
      <c r="AL34" s="36">
        <v>180</v>
      </c>
      <c r="AM34" s="16"/>
      <c r="AN34" s="16"/>
      <c r="AO34" s="16"/>
      <c r="AP34" s="16"/>
      <c r="AQ34" s="16"/>
      <c r="AR34" s="16"/>
      <c r="AS34" s="16"/>
      <c r="AT34" s="16"/>
      <c r="AU34" s="16"/>
      <c r="AV34" s="16"/>
      <c r="AW34" s="16"/>
      <c r="AX34" s="16"/>
      <c r="AY34" s="16"/>
      <c r="AZ34" s="76" t="s">
        <v>557</v>
      </c>
      <c r="BA34" s="25">
        <f>193+50</f>
        <v>243</v>
      </c>
      <c r="BB34" s="16"/>
      <c r="BC34" s="25" t="s">
        <v>558</v>
      </c>
      <c r="BD34" s="25">
        <v>192</v>
      </c>
      <c r="BE34" s="16"/>
      <c r="BF34" s="25" t="s">
        <v>108</v>
      </c>
      <c r="BG34" s="25">
        <v>45</v>
      </c>
      <c r="BH34" s="16"/>
      <c r="BI34" s="25" t="s">
        <v>559</v>
      </c>
      <c r="BJ34" s="25">
        <v>20</v>
      </c>
      <c r="BK34" s="16"/>
      <c r="BL34" s="25" t="s">
        <v>560</v>
      </c>
      <c r="BM34" s="25">
        <v>70</v>
      </c>
      <c r="BN34" s="16"/>
      <c r="BO34" s="25" t="s">
        <v>561</v>
      </c>
      <c r="BP34" s="25">
        <v>16</v>
      </c>
      <c r="BQ34" s="16"/>
      <c r="BR34" s="25" t="s">
        <v>562</v>
      </c>
      <c r="BS34" s="25">
        <v>25</v>
      </c>
      <c r="BT34" s="16"/>
      <c r="BU34" s="25" t="s">
        <v>563</v>
      </c>
      <c r="BV34" s="25">
        <v>30</v>
      </c>
      <c r="BW34" s="16"/>
      <c r="BX34" s="25" t="s">
        <v>564</v>
      </c>
      <c r="BY34" s="25">
        <v>80</v>
      </c>
      <c r="BZ34" s="16"/>
      <c r="CA34" s="25" t="s">
        <v>208</v>
      </c>
      <c r="CB34" s="25">
        <v>80</v>
      </c>
      <c r="CC34" s="16"/>
      <c r="CD34" s="25" t="s">
        <v>113</v>
      </c>
      <c r="CE34" s="25">
        <v>200</v>
      </c>
      <c r="CF34" s="16"/>
      <c r="CG34" s="25" t="s">
        <v>565</v>
      </c>
      <c r="CH34" s="25">
        <v>266</v>
      </c>
      <c r="CI34" s="16"/>
      <c r="CJ34" s="25" t="s">
        <v>566</v>
      </c>
      <c r="CK34" s="25">
        <f>18+8</f>
        <v>26</v>
      </c>
      <c r="CL34" s="16"/>
      <c r="CM34" s="25" t="s">
        <v>567</v>
      </c>
      <c r="CN34" s="25">
        <v>195</v>
      </c>
      <c r="CO34" s="16"/>
      <c r="CP34" s="16"/>
      <c r="CQ34" s="16"/>
      <c r="CR34" s="16"/>
      <c r="CS34" s="16"/>
      <c r="CT34" s="16"/>
      <c r="CU34" s="16"/>
      <c r="CV34" s="16"/>
      <c r="CW34" s="16" t="s">
        <v>111</v>
      </c>
      <c r="CX34" s="16">
        <f>SUM(CX21:CX33)</f>
        <v>1505</v>
      </c>
      <c r="CY34" s="16"/>
      <c r="CZ34" s="16" t="s">
        <v>111</v>
      </c>
      <c r="DA34" s="16">
        <f>SUM(DA21:DA33)</f>
        <v>530</v>
      </c>
      <c r="DB34" s="16"/>
      <c r="DC34" s="28" t="s">
        <v>568</v>
      </c>
      <c r="DD34" s="28">
        <v>172</v>
      </c>
      <c r="DE34" s="16"/>
      <c r="DF34" s="28" t="s">
        <v>569</v>
      </c>
      <c r="DG34" s="28">
        <v>70</v>
      </c>
      <c r="DH34" s="16"/>
      <c r="DI34" s="28" t="s">
        <v>570</v>
      </c>
      <c r="DJ34" s="28">
        <f>185+17+15</f>
        <v>217</v>
      </c>
      <c r="DK34" s="16"/>
      <c r="DL34" s="28"/>
      <c r="DM34" s="28"/>
      <c r="DN34" s="16"/>
      <c r="DO34" s="28" t="s">
        <v>571</v>
      </c>
      <c r="DP34" s="28">
        <f>7+86</f>
        <v>93</v>
      </c>
      <c r="DR34" s="28" t="s">
        <v>572</v>
      </c>
      <c r="DS34" s="28">
        <v>900</v>
      </c>
      <c r="DU34" s="16" t="s">
        <v>111</v>
      </c>
      <c r="DV34" s="16">
        <f>SUM(DV21:DV33)</f>
        <v>1111</v>
      </c>
      <c r="DX34" s="28" t="s">
        <v>268</v>
      </c>
      <c r="DY34" s="38">
        <v>35</v>
      </c>
      <c r="DZ34" s="1"/>
      <c r="EA34" s="28" t="s">
        <v>573</v>
      </c>
      <c r="EB34" s="38">
        <v>23</v>
      </c>
      <c r="ED34" s="28" t="s">
        <v>574</v>
      </c>
      <c r="EE34" s="28">
        <v>19</v>
      </c>
      <c r="EG34" s="28" t="s">
        <v>575</v>
      </c>
      <c r="EH34" s="38">
        <f>19+5</f>
        <v>24</v>
      </c>
      <c r="EJ34" s="28" t="s">
        <v>260</v>
      </c>
      <c r="EK34" s="28">
        <v>41</v>
      </c>
      <c r="EL34" s="15"/>
      <c r="EM34" s="1" t="s">
        <v>13</v>
      </c>
      <c r="EN34" s="1">
        <f>SUM(EN22:EN33)</f>
        <v>797</v>
      </c>
      <c r="EP34" s="28" t="s">
        <v>285</v>
      </c>
      <c r="EQ34" s="38"/>
      <c r="ER34" s="15"/>
      <c r="ES34" s="28" t="s">
        <v>576</v>
      </c>
      <c r="ET34" s="28">
        <f>38+10+34</f>
        <v>82</v>
      </c>
      <c r="EU34" s="1"/>
      <c r="EV34" s="1"/>
      <c r="EW34" s="1"/>
      <c r="EY34" s="1"/>
      <c r="EZ34" s="1"/>
      <c r="FB34" s="28" t="s">
        <v>577</v>
      </c>
      <c r="FC34" s="28">
        <v>20</v>
      </c>
      <c r="FE34" s="30" t="s">
        <v>578</v>
      </c>
      <c r="FF34" s="38">
        <f>190+25</f>
        <v>215</v>
      </c>
      <c r="FH34" s="28"/>
      <c r="FI34" s="38"/>
      <c r="FK34" s="28" t="s">
        <v>579</v>
      </c>
      <c r="FL34" s="38">
        <f>90+10</f>
        <v>100</v>
      </c>
      <c r="FN34" s="179" t="s">
        <v>334</v>
      </c>
      <c r="FO34" s="38"/>
      <c r="FQ34" s="62" t="s">
        <v>580</v>
      </c>
      <c r="FR34" s="62">
        <v>60</v>
      </c>
      <c r="FT34" s="179" t="s">
        <v>821</v>
      </c>
      <c r="FU34" s="179">
        <v>67</v>
      </c>
      <c r="FV34" s="24"/>
      <c r="FW34" s="182" t="s">
        <v>844</v>
      </c>
      <c r="FX34" s="182">
        <f>58+12+68</f>
        <v>138</v>
      </c>
      <c r="FY34" s="24"/>
      <c r="FZ34" s="189" t="s">
        <v>174</v>
      </c>
      <c r="GA34" s="189">
        <v>79</v>
      </c>
      <c r="GB34" s="1"/>
      <c r="GC34" s="189" t="s">
        <v>1031</v>
      </c>
      <c r="GD34" s="189">
        <f>19+11</f>
        <v>30</v>
      </c>
      <c r="GE34" s="1"/>
      <c r="GF34" s="203" t="s">
        <v>708</v>
      </c>
      <c r="GG34" s="182">
        <v>12</v>
      </c>
      <c r="GH34" s="1"/>
      <c r="GI34" s="1"/>
      <c r="GJ34" s="1"/>
      <c r="GK34" s="1"/>
      <c r="GL34" s="1"/>
      <c r="GM34" s="1"/>
      <c r="GN34" s="1"/>
      <c r="GO34" s="1"/>
      <c r="GP34" s="1"/>
      <c r="GQ34" s="1"/>
      <c r="GR34" s="1"/>
      <c r="GS34" s="1"/>
      <c r="GT34" s="1"/>
      <c r="GU34" s="1"/>
      <c r="GV34" s="1"/>
      <c r="GX34" s="1"/>
      <c r="GY34" s="1"/>
      <c r="HA34" s="1"/>
      <c r="HB34" s="1"/>
      <c r="HD34" s="1"/>
      <c r="HE34" s="1"/>
    </row>
    <row r="35" spans="1:213" ht="15.75" customHeight="1" x14ac:dyDescent="0.3">
      <c r="A35" s="16"/>
      <c r="B35" s="16"/>
      <c r="C35" s="16"/>
      <c r="D35" s="16"/>
      <c r="E35" s="16"/>
      <c r="F35" s="16"/>
      <c r="G35" s="16"/>
      <c r="H35" s="16"/>
      <c r="I35" s="16"/>
      <c r="J35" s="16"/>
      <c r="K35" s="16"/>
      <c r="L35" s="16"/>
      <c r="M35" s="16"/>
      <c r="N35" s="16"/>
      <c r="O35" s="16"/>
      <c r="P35" s="16"/>
      <c r="Q35" s="16"/>
      <c r="R35" s="16"/>
      <c r="S35" s="25" t="s">
        <v>581</v>
      </c>
      <c r="T35" s="25">
        <v>48</v>
      </c>
      <c r="U35" s="16"/>
      <c r="V35" s="16"/>
      <c r="W35" s="16"/>
      <c r="X35" s="16"/>
      <c r="Y35" s="16"/>
      <c r="Z35" s="16"/>
      <c r="AA35" s="16"/>
      <c r="AB35" s="16"/>
      <c r="AC35" s="16"/>
      <c r="AD35" s="16"/>
      <c r="AE35" s="16"/>
      <c r="AF35" s="16"/>
      <c r="AG35" s="16"/>
      <c r="AH35" s="25" t="s">
        <v>582</v>
      </c>
      <c r="AI35" s="25">
        <v>50</v>
      </c>
      <c r="AJ35" s="16"/>
      <c r="AK35" s="16" t="s">
        <v>13</v>
      </c>
      <c r="AL35" s="24">
        <f>SUM(AL28:AL34)</f>
        <v>644</v>
      </c>
      <c r="AM35" s="16"/>
      <c r="AN35" s="16"/>
      <c r="AO35" s="16"/>
      <c r="AP35" s="16"/>
      <c r="AQ35" s="16" t="s">
        <v>111</v>
      </c>
      <c r="AR35" s="16">
        <f>SUM(AR28:AR34)</f>
        <v>509</v>
      </c>
      <c r="AS35" s="16"/>
      <c r="AT35" s="16"/>
      <c r="AU35" s="16"/>
      <c r="AV35" s="16"/>
      <c r="AW35" s="16"/>
      <c r="AX35" s="16"/>
      <c r="AY35" s="16"/>
      <c r="AZ35" s="76" t="s">
        <v>390</v>
      </c>
      <c r="BA35" s="25">
        <v>30</v>
      </c>
      <c r="BB35" s="16"/>
      <c r="BC35" s="25" t="s">
        <v>583</v>
      </c>
      <c r="BD35" s="25">
        <v>50</v>
      </c>
      <c r="BE35" s="16"/>
      <c r="BF35" s="25" t="s">
        <v>584</v>
      </c>
      <c r="BG35" s="25">
        <v>40</v>
      </c>
      <c r="BH35" s="16"/>
      <c r="BI35" s="25" t="s">
        <v>289</v>
      </c>
      <c r="BJ35" s="25">
        <v>24</v>
      </c>
      <c r="BK35" s="16"/>
      <c r="BL35" s="25" t="s">
        <v>585</v>
      </c>
      <c r="BM35" s="25">
        <v>18</v>
      </c>
      <c r="BN35" s="16"/>
      <c r="BO35" s="25" t="s">
        <v>586</v>
      </c>
      <c r="BP35" s="25">
        <v>70</v>
      </c>
      <c r="BQ35" s="16"/>
      <c r="BR35" s="25" t="s">
        <v>587</v>
      </c>
      <c r="BS35" s="25">
        <v>25</v>
      </c>
      <c r="BT35" s="16"/>
      <c r="BU35" s="25" t="s">
        <v>588</v>
      </c>
      <c r="BV35" s="25">
        <v>40</v>
      </c>
      <c r="BW35" s="16"/>
      <c r="BX35" s="25" t="s">
        <v>589</v>
      </c>
      <c r="BY35" s="25">
        <v>263</v>
      </c>
      <c r="BZ35" s="16"/>
      <c r="CA35" s="25" t="s">
        <v>590</v>
      </c>
      <c r="CB35" s="25">
        <v>41</v>
      </c>
      <c r="CC35" s="16"/>
      <c r="CD35" s="25" t="s">
        <v>591</v>
      </c>
      <c r="CE35" s="25">
        <v>108</v>
      </c>
      <c r="CF35" s="16"/>
      <c r="CG35" s="25" t="s">
        <v>592</v>
      </c>
      <c r="CH35" s="25">
        <v>25</v>
      </c>
      <c r="CI35" s="16"/>
      <c r="CJ35" s="25" t="s">
        <v>593</v>
      </c>
      <c r="CK35" s="25">
        <v>19</v>
      </c>
      <c r="CL35" s="16"/>
      <c r="CM35" s="25" t="s">
        <v>594</v>
      </c>
      <c r="CN35" s="25">
        <f>30+20+10+10</f>
        <v>70</v>
      </c>
      <c r="CO35" s="16"/>
      <c r="CP35" s="16"/>
      <c r="CQ35" s="16"/>
      <c r="CR35" s="16"/>
      <c r="CS35" s="16"/>
      <c r="CT35" s="16"/>
      <c r="CU35" s="16"/>
      <c r="CV35" s="16"/>
      <c r="CW35" s="16"/>
      <c r="CX35" s="16"/>
      <c r="CY35" s="16"/>
      <c r="CZ35" s="16"/>
      <c r="DA35" s="16"/>
      <c r="DB35" s="16"/>
      <c r="DC35" s="16" t="s">
        <v>111</v>
      </c>
      <c r="DD35" s="16">
        <f>SUM(DD21:DD34)</f>
        <v>877</v>
      </c>
      <c r="DE35" s="16"/>
      <c r="DF35" s="28" t="s">
        <v>595</v>
      </c>
      <c r="DG35" s="28">
        <v>20</v>
      </c>
      <c r="DH35" s="16"/>
      <c r="DI35" s="28" t="s">
        <v>305</v>
      </c>
      <c r="DJ35" s="28">
        <v>25</v>
      </c>
      <c r="DK35" s="16"/>
      <c r="DL35" s="16" t="s">
        <v>111</v>
      </c>
      <c r="DM35" s="16">
        <f>SUM(DM21:DM34)</f>
        <v>1013</v>
      </c>
      <c r="DN35" s="16"/>
      <c r="DO35" s="16" t="s">
        <v>111</v>
      </c>
      <c r="DP35" s="16">
        <f>SUM(DP23:DP34)</f>
        <v>1319</v>
      </c>
      <c r="DR35" s="28" t="s">
        <v>371</v>
      </c>
      <c r="DS35" s="28">
        <f>58+28+28+20+20</f>
        <v>154</v>
      </c>
      <c r="DT35" s="1"/>
      <c r="DU35" s="16"/>
      <c r="DV35" s="16"/>
      <c r="DW35" s="1"/>
      <c r="DX35" s="28" t="s">
        <v>128</v>
      </c>
      <c r="DY35" s="38">
        <v>35</v>
      </c>
      <c r="DZ35" s="1"/>
      <c r="EA35" s="28" t="s">
        <v>596</v>
      </c>
      <c r="EB35" s="38">
        <v>94</v>
      </c>
      <c r="ED35" s="28" t="s">
        <v>597</v>
      </c>
      <c r="EE35" s="28">
        <v>51</v>
      </c>
      <c r="EG35" s="78" t="s">
        <v>598</v>
      </c>
      <c r="EH35" s="38">
        <v>52</v>
      </c>
      <c r="EJ35" s="28" t="s">
        <v>599</v>
      </c>
      <c r="EK35" s="28">
        <v>52</v>
      </c>
      <c r="EL35" s="15"/>
      <c r="EM35" s="1"/>
      <c r="EN35" s="1"/>
      <c r="EP35" s="28" t="s">
        <v>600</v>
      </c>
      <c r="EQ35" s="38">
        <v>107</v>
      </c>
      <c r="ER35" s="15"/>
      <c r="ES35" s="28" t="s">
        <v>601</v>
      </c>
      <c r="ET35" s="28">
        <f>100+45</f>
        <v>145</v>
      </c>
      <c r="EU35" s="1"/>
      <c r="EV35" s="1"/>
      <c r="EW35" s="1"/>
      <c r="EY35" s="1"/>
      <c r="EZ35" s="1"/>
      <c r="FB35" s="28" t="s">
        <v>602</v>
      </c>
      <c r="FC35" s="28">
        <v>75</v>
      </c>
      <c r="FE35" s="28"/>
      <c r="FF35" s="38"/>
      <c r="FH35" s="28" t="s">
        <v>603</v>
      </c>
      <c r="FI35" s="38">
        <f>50+18</f>
        <v>68</v>
      </c>
      <c r="FK35" s="28" t="s">
        <v>273</v>
      </c>
      <c r="FL35" s="38">
        <v>8</v>
      </c>
      <c r="FN35" s="179" t="s">
        <v>111</v>
      </c>
      <c r="FO35" s="38">
        <v>60</v>
      </c>
      <c r="FQ35" s="62" t="s">
        <v>600</v>
      </c>
      <c r="FR35" s="62">
        <f>26+31+9</f>
        <v>66</v>
      </c>
      <c r="FT35" s="180">
        <v>45663</v>
      </c>
      <c r="FU35" s="179">
        <f>60+33+7</f>
        <v>100</v>
      </c>
      <c r="FV35" s="20"/>
      <c r="FW35" s="189" t="s">
        <v>273</v>
      </c>
      <c r="FX35" s="189">
        <f>19+8</f>
        <v>27</v>
      </c>
      <c r="FY35" s="20"/>
      <c r="FZ35" s="203" t="s">
        <v>879</v>
      </c>
      <c r="GA35" s="189">
        <v>168</v>
      </c>
      <c r="GB35" s="1"/>
      <c r="GC35" s="1"/>
      <c r="GD35" s="1"/>
      <c r="GE35" s="1"/>
      <c r="GF35" s="203" t="s">
        <v>1042</v>
      </c>
      <c r="GG35" s="182">
        <v>140</v>
      </c>
      <c r="GH35" s="1"/>
      <c r="GI35" s="1"/>
      <c r="GJ35" s="1"/>
      <c r="GK35" s="1"/>
      <c r="GL35" s="1"/>
      <c r="GM35" s="1"/>
      <c r="GN35" s="1"/>
      <c r="GO35" s="1"/>
      <c r="GP35" s="1"/>
      <c r="GQ35" s="1"/>
      <c r="GR35" s="1"/>
      <c r="GS35" s="1"/>
      <c r="GT35" s="1"/>
      <c r="GU35" s="1"/>
      <c r="GV35" s="1"/>
      <c r="GX35" s="1"/>
      <c r="GY35" s="1"/>
      <c r="HA35" s="1"/>
      <c r="HB35" s="1"/>
      <c r="HD35" s="1"/>
      <c r="HE35" s="1"/>
    </row>
    <row r="36" spans="1:213" ht="15.75" customHeight="1" x14ac:dyDescent="0.3">
      <c r="A36" s="16"/>
      <c r="B36" s="16"/>
      <c r="C36" s="16"/>
      <c r="D36" s="16"/>
      <c r="E36" s="16"/>
      <c r="F36" s="16"/>
      <c r="G36" s="16"/>
      <c r="H36" s="16"/>
      <c r="I36" s="16"/>
      <c r="J36" s="16"/>
      <c r="K36" s="16"/>
      <c r="L36" s="16"/>
      <c r="M36" s="16"/>
      <c r="N36" s="16"/>
      <c r="O36" s="16"/>
      <c r="P36" s="16"/>
      <c r="Q36" s="16"/>
      <c r="R36" s="16"/>
      <c r="S36" s="25" t="s">
        <v>604</v>
      </c>
      <c r="T36" s="25">
        <v>15</v>
      </c>
      <c r="U36" s="16"/>
      <c r="V36" s="16"/>
      <c r="W36" s="16"/>
      <c r="X36" s="16"/>
      <c r="Y36" s="16"/>
      <c r="Z36" s="16"/>
      <c r="AA36" s="16"/>
      <c r="AB36" s="16"/>
      <c r="AC36" s="16"/>
      <c r="AD36" s="16"/>
      <c r="AE36" s="25" t="s">
        <v>178</v>
      </c>
      <c r="AF36" s="25">
        <v>95</v>
      </c>
      <c r="AG36" s="16"/>
      <c r="AH36" s="25" t="s">
        <v>502</v>
      </c>
      <c r="AI36" s="25">
        <v>65</v>
      </c>
      <c r="AJ36" s="16"/>
      <c r="AK36" s="16"/>
      <c r="AL36" s="16"/>
      <c r="AM36" s="16"/>
      <c r="AN36" s="16"/>
      <c r="AO36" s="16"/>
      <c r="AP36" s="16"/>
      <c r="AQ36" s="16"/>
      <c r="AR36" s="16"/>
      <c r="AS36" s="16"/>
      <c r="AT36" s="67">
        <v>3000000</v>
      </c>
      <c r="AU36" s="67">
        <f>$AT$36*0.4</f>
        <v>1200000</v>
      </c>
      <c r="AV36" s="67">
        <f>AU36*0.125</f>
        <v>150000</v>
      </c>
      <c r="AW36" s="67">
        <f>AU36/30</f>
        <v>40000</v>
      </c>
      <c r="AX36" s="67">
        <f>AW36*18</f>
        <v>720000</v>
      </c>
      <c r="AY36" s="16"/>
      <c r="AZ36" s="16"/>
      <c r="BA36" s="16">
        <f>SUM(BA28:BA35)</f>
        <v>911</v>
      </c>
      <c r="BB36" s="16"/>
      <c r="BC36" s="16" t="s">
        <v>13</v>
      </c>
      <c r="BD36" s="16">
        <f>SUM(BD27:BD35)</f>
        <v>1350</v>
      </c>
      <c r="BE36" s="16"/>
      <c r="BF36" s="25" t="s">
        <v>605</v>
      </c>
      <c r="BG36" s="25">
        <v>40</v>
      </c>
      <c r="BH36" s="16"/>
      <c r="BI36" s="76" t="s">
        <v>606</v>
      </c>
      <c r="BJ36" s="25">
        <v>54</v>
      </c>
      <c r="BK36" s="16"/>
      <c r="BL36" s="25" t="s">
        <v>607</v>
      </c>
      <c r="BM36" s="25">
        <v>10</v>
      </c>
      <c r="BN36" s="16"/>
      <c r="BO36" s="25" t="s">
        <v>287</v>
      </c>
      <c r="BP36" s="25">
        <v>30</v>
      </c>
      <c r="BQ36" s="16"/>
      <c r="BR36" s="79" t="s">
        <v>608</v>
      </c>
      <c r="BS36" s="25">
        <v>25</v>
      </c>
      <c r="BT36" s="16"/>
      <c r="BU36" s="25" t="s">
        <v>609</v>
      </c>
      <c r="BV36" s="25">
        <v>29</v>
      </c>
      <c r="BW36" s="16"/>
      <c r="BX36" s="16"/>
      <c r="BY36" s="16"/>
      <c r="BZ36" s="16"/>
      <c r="CA36" s="25" t="s">
        <v>610</v>
      </c>
      <c r="CB36" s="25">
        <v>15</v>
      </c>
      <c r="CC36" s="16"/>
      <c r="CD36" s="25" t="s">
        <v>611</v>
      </c>
      <c r="CE36" s="25">
        <v>22</v>
      </c>
      <c r="CF36" s="16"/>
      <c r="CG36" s="25" t="s">
        <v>390</v>
      </c>
      <c r="CH36" s="25">
        <v>10</v>
      </c>
      <c r="CI36" s="16"/>
      <c r="CJ36" s="25" t="s">
        <v>612</v>
      </c>
      <c r="CK36" s="25">
        <v>25</v>
      </c>
      <c r="CL36" s="16"/>
      <c r="CM36" s="25" t="s">
        <v>613</v>
      </c>
      <c r="CN36" s="25">
        <v>190</v>
      </c>
      <c r="CO36" s="16"/>
      <c r="CP36" s="16"/>
      <c r="CQ36" s="16"/>
      <c r="CR36" s="16"/>
      <c r="CS36" s="16"/>
      <c r="CT36" s="16"/>
      <c r="CU36" s="16"/>
      <c r="CV36" s="16"/>
      <c r="CW36" s="16"/>
      <c r="CX36" s="16"/>
      <c r="CY36" s="16"/>
      <c r="CZ36" s="16"/>
      <c r="DA36" s="16"/>
      <c r="DB36" s="16"/>
      <c r="DC36" s="16"/>
      <c r="DD36" s="16"/>
      <c r="DE36" s="16"/>
      <c r="DF36" s="28" t="s">
        <v>122</v>
      </c>
      <c r="DG36" s="28">
        <v>25</v>
      </c>
      <c r="DH36" s="16"/>
      <c r="DI36" s="28" t="s">
        <v>122</v>
      </c>
      <c r="DJ36" s="28">
        <v>149</v>
      </c>
      <c r="DK36" s="16"/>
      <c r="DL36" s="16"/>
      <c r="DM36" s="16"/>
      <c r="DN36" s="16"/>
      <c r="DO36" s="16"/>
      <c r="DP36" s="16"/>
      <c r="DR36" s="28" t="s">
        <v>614</v>
      </c>
      <c r="DS36" s="28">
        <f>10+40+104+26+14+40+8+27+9</f>
        <v>278</v>
      </c>
      <c r="DT36" s="1"/>
      <c r="DU36" s="16"/>
      <c r="DV36" s="16"/>
      <c r="DW36" s="1"/>
      <c r="DX36" s="16" t="s">
        <v>111</v>
      </c>
      <c r="DY36" s="16">
        <f>SUM(DY21:DY35)</f>
        <v>595</v>
      </c>
      <c r="EA36" s="16" t="s">
        <v>111</v>
      </c>
      <c r="EB36" s="16">
        <f>SUM(EB21:EB35)</f>
        <v>797</v>
      </c>
      <c r="ED36" s="16" t="s">
        <v>111</v>
      </c>
      <c r="EE36" s="16">
        <f>SUM(EE19:EE35)</f>
        <v>892</v>
      </c>
      <c r="EG36" s="1" t="s">
        <v>13</v>
      </c>
      <c r="EH36" s="1">
        <f>SUM(EH22:EH35)</f>
        <v>979</v>
      </c>
      <c r="EJ36" s="28" t="s">
        <v>111</v>
      </c>
      <c r="EK36" s="28">
        <v>54</v>
      </c>
      <c r="EL36" s="15"/>
      <c r="EM36" s="1"/>
      <c r="EN36" s="1"/>
      <c r="EP36" s="28" t="s">
        <v>268</v>
      </c>
      <c r="EQ36" s="38">
        <v>20</v>
      </c>
      <c r="ER36" s="1"/>
      <c r="ES36" s="28" t="s">
        <v>277</v>
      </c>
      <c r="ET36" s="28">
        <f>17+11</f>
        <v>28</v>
      </c>
      <c r="EU36" s="1"/>
      <c r="EV36" s="1"/>
      <c r="EW36" s="1"/>
      <c r="EY36" s="1"/>
      <c r="EZ36" s="1"/>
      <c r="FB36" s="28" t="s">
        <v>615</v>
      </c>
      <c r="FC36" s="28">
        <v>186</v>
      </c>
      <c r="FE36" s="28"/>
      <c r="FF36" s="38"/>
      <c r="FQ36" s="62" t="s">
        <v>245</v>
      </c>
      <c r="FR36" s="62">
        <v>30</v>
      </c>
      <c r="FT36" s="179" t="s">
        <v>324</v>
      </c>
      <c r="FU36" s="179">
        <v>16</v>
      </c>
      <c r="FV36" s="24"/>
      <c r="FW36" s="189" t="s">
        <v>845</v>
      </c>
      <c r="FX36" s="189">
        <v>96</v>
      </c>
      <c r="FY36" s="24"/>
      <c r="FZ36" s="204" t="s">
        <v>187</v>
      </c>
      <c r="GA36" s="205">
        <v>45</v>
      </c>
      <c r="GB36" s="1"/>
      <c r="GC36" s="1"/>
      <c r="GD36" s="1"/>
      <c r="GE36" s="1"/>
      <c r="GF36" s="203" t="s">
        <v>1043</v>
      </c>
      <c r="GG36" s="182">
        <f>45+38+5+100-34</f>
        <v>154</v>
      </c>
      <c r="GH36" s="1"/>
      <c r="GI36" s="1"/>
      <c r="GJ36" s="1"/>
      <c r="GK36" s="1"/>
      <c r="GL36" s="1"/>
      <c r="GM36" s="1"/>
      <c r="GN36" s="1"/>
      <c r="GO36" s="1"/>
      <c r="GP36" s="1"/>
      <c r="GQ36" s="1"/>
      <c r="GR36" s="1"/>
      <c r="GS36" s="1"/>
      <c r="GT36" s="1"/>
      <c r="GU36" s="1"/>
      <c r="GV36" s="1"/>
      <c r="GX36" s="1"/>
      <c r="GY36" s="1"/>
      <c r="HA36" s="1"/>
      <c r="HB36" s="1"/>
      <c r="HD36" s="1"/>
      <c r="HE36" s="1"/>
    </row>
    <row r="37" spans="1:213" ht="15.75" customHeight="1" x14ac:dyDescent="0.3">
      <c r="A37" s="16"/>
      <c r="B37" s="16"/>
      <c r="C37" s="16"/>
      <c r="D37" s="16"/>
      <c r="E37" s="16"/>
      <c r="F37" s="16"/>
      <c r="G37" s="16"/>
      <c r="H37" s="16"/>
      <c r="I37" s="16"/>
      <c r="J37" s="16"/>
      <c r="K37" s="16"/>
      <c r="L37" s="16"/>
      <c r="M37" s="16"/>
      <c r="N37" s="16"/>
      <c r="O37" s="16"/>
      <c r="P37" s="16"/>
      <c r="Q37" s="16"/>
      <c r="R37" s="16"/>
      <c r="S37" s="25" t="s">
        <v>616</v>
      </c>
      <c r="T37" s="25">
        <v>4</v>
      </c>
      <c r="U37" s="16"/>
      <c r="V37" s="16"/>
      <c r="W37" s="16"/>
      <c r="X37" s="16"/>
      <c r="Y37" s="16"/>
      <c r="Z37" s="16"/>
      <c r="AA37" s="16"/>
      <c r="AB37" s="16"/>
      <c r="AC37" s="16"/>
      <c r="AD37" s="16"/>
      <c r="AE37" s="25" t="s">
        <v>431</v>
      </c>
      <c r="AF37" s="25">
        <v>36</v>
      </c>
      <c r="AG37" s="16"/>
      <c r="AH37" s="25" t="s">
        <v>98</v>
      </c>
      <c r="AI37" s="25">
        <v>32</v>
      </c>
      <c r="AJ37" s="16"/>
      <c r="AK37" s="16"/>
      <c r="AL37" s="16"/>
      <c r="AM37" s="16"/>
      <c r="AN37" s="16"/>
      <c r="AO37" s="16"/>
      <c r="AP37" s="16"/>
      <c r="AQ37" s="16"/>
      <c r="AR37" s="16"/>
      <c r="AS37" s="16"/>
      <c r="AT37" s="16"/>
      <c r="AU37" s="16"/>
      <c r="AV37" s="67">
        <f>AU36*0.16</f>
        <v>192000</v>
      </c>
      <c r="AW37" s="16"/>
      <c r="AX37" s="67"/>
      <c r="AY37" s="16"/>
      <c r="AZ37" s="16"/>
      <c r="BA37" s="16"/>
      <c r="BB37" s="16"/>
      <c r="BC37" s="16"/>
      <c r="BD37" s="16"/>
      <c r="BE37" s="16"/>
      <c r="BF37" s="66">
        <v>44429</v>
      </c>
      <c r="BG37" s="25">
        <v>26</v>
      </c>
      <c r="BH37" s="16"/>
      <c r="BI37" s="76" t="s">
        <v>617</v>
      </c>
      <c r="BJ37" s="25">
        <v>93</v>
      </c>
      <c r="BK37" s="16"/>
      <c r="BL37" s="25" t="s">
        <v>305</v>
      </c>
      <c r="BM37" s="25">
        <v>27</v>
      </c>
      <c r="BN37" s="16"/>
      <c r="BO37" s="25" t="s">
        <v>618</v>
      </c>
      <c r="BP37" s="25">
        <f>39+5+17</f>
        <v>61</v>
      </c>
      <c r="BQ37" s="16"/>
      <c r="BR37" s="16"/>
      <c r="BS37" s="16"/>
      <c r="BT37" s="16"/>
      <c r="BU37" s="16" t="s">
        <v>13</v>
      </c>
      <c r="BV37" s="24">
        <f>SUM(BV27:BV36)</f>
        <v>684</v>
      </c>
      <c r="BW37" s="16"/>
      <c r="BX37" s="16"/>
      <c r="BY37" s="16"/>
      <c r="BZ37" s="16"/>
      <c r="CA37" s="25" t="s">
        <v>619</v>
      </c>
      <c r="CB37" s="25">
        <v>24</v>
      </c>
      <c r="CC37" s="16"/>
      <c r="CD37" s="25" t="s">
        <v>620</v>
      </c>
      <c r="CE37" s="25">
        <v>10</v>
      </c>
      <c r="CF37" s="16"/>
      <c r="CG37" s="25" t="s">
        <v>100</v>
      </c>
      <c r="CH37" s="25">
        <v>18</v>
      </c>
      <c r="CI37" s="16"/>
      <c r="CJ37" s="25" t="s">
        <v>621</v>
      </c>
      <c r="CK37" s="25">
        <f>268+66</f>
        <v>334</v>
      </c>
      <c r="CL37" s="16"/>
      <c r="CM37" s="25" t="s">
        <v>622</v>
      </c>
      <c r="CN37" s="25">
        <v>10</v>
      </c>
      <c r="CO37" s="16"/>
      <c r="CP37" s="16"/>
      <c r="CQ37" s="16"/>
      <c r="CR37" s="16"/>
      <c r="CS37" s="16"/>
      <c r="CT37" s="16"/>
      <c r="CU37" s="16"/>
      <c r="CV37" s="16"/>
      <c r="CW37" s="16"/>
      <c r="CX37" s="16"/>
      <c r="CY37" s="16"/>
      <c r="CZ37" s="16"/>
      <c r="DA37" s="16"/>
      <c r="DB37" s="16"/>
      <c r="DC37" s="16"/>
      <c r="DD37" s="16"/>
      <c r="DE37" s="16"/>
      <c r="DF37" s="28" t="s">
        <v>623</v>
      </c>
      <c r="DG37" s="28">
        <v>42</v>
      </c>
      <c r="DH37" s="16"/>
      <c r="DI37" s="16" t="s">
        <v>111</v>
      </c>
      <c r="DJ37" s="16">
        <f>SUM(DJ21:DJ36)</f>
        <v>1180</v>
      </c>
      <c r="DK37" s="16"/>
      <c r="DL37" s="16"/>
      <c r="DM37" s="16"/>
      <c r="DN37" s="16"/>
      <c r="DO37" s="16"/>
      <c r="DP37" s="16"/>
      <c r="DR37" s="28" t="s">
        <v>624</v>
      </c>
      <c r="DS37" s="28">
        <v>142</v>
      </c>
      <c r="DT37" s="1"/>
      <c r="DU37" s="16"/>
      <c r="DV37" s="16"/>
      <c r="DW37" s="1"/>
      <c r="DX37" s="1"/>
      <c r="DY37" s="1"/>
      <c r="EA37" s="1"/>
      <c r="EB37" s="1"/>
      <c r="ED37" s="1"/>
      <c r="EE37" s="1"/>
      <c r="EG37" s="1"/>
      <c r="EH37" s="1"/>
      <c r="EJ37" s="1"/>
      <c r="EK37" s="1">
        <f>SUM(EK21:EK36)</f>
        <v>1416</v>
      </c>
      <c r="EL37" s="15"/>
      <c r="EM37" s="1"/>
      <c r="EN37" s="1"/>
      <c r="EP37" s="28" t="s">
        <v>625</v>
      </c>
      <c r="EQ37" s="38">
        <v>80</v>
      </c>
      <c r="ER37" s="1"/>
      <c r="ES37" s="28"/>
      <c r="ET37" s="28"/>
      <c r="EU37" s="1"/>
      <c r="EV37" s="1"/>
      <c r="EW37" s="1"/>
      <c r="EY37" s="1"/>
      <c r="EZ37" s="1"/>
      <c r="FB37" s="28" t="s">
        <v>626</v>
      </c>
      <c r="FC37" s="28">
        <v>100</v>
      </c>
      <c r="FE37" s="30" t="s">
        <v>305</v>
      </c>
      <c r="FF37" s="38">
        <v>34</v>
      </c>
      <c r="FQ37" s="1"/>
      <c r="FR37" s="1"/>
      <c r="FT37" s="179" t="s">
        <v>628</v>
      </c>
      <c r="FU37" s="179">
        <v>30</v>
      </c>
      <c r="FV37" s="20"/>
      <c r="FW37" s="189" t="s">
        <v>846</v>
      </c>
      <c r="FX37" s="189">
        <v>20</v>
      </c>
      <c r="FY37" s="20"/>
      <c r="FZ37" s="203" t="s">
        <v>240</v>
      </c>
      <c r="GA37" s="189">
        <v>285</v>
      </c>
      <c r="GB37" s="1"/>
      <c r="GC37" s="1"/>
      <c r="GD37" s="1"/>
      <c r="GE37" s="1"/>
      <c r="GF37" s="203" t="s">
        <v>1044</v>
      </c>
      <c r="GG37" s="182">
        <v>30</v>
      </c>
      <c r="GH37" s="1"/>
      <c r="GI37" s="1"/>
      <c r="GJ37" s="1"/>
      <c r="GK37" s="1"/>
      <c r="GL37" s="1"/>
      <c r="GM37" s="1"/>
      <c r="GN37" s="1"/>
      <c r="GO37" s="1"/>
      <c r="GP37" s="1"/>
      <c r="GQ37" s="1"/>
      <c r="GR37" s="1"/>
      <c r="GS37" s="1"/>
      <c r="GT37" s="1"/>
      <c r="GU37" s="1"/>
      <c r="GV37" s="1"/>
      <c r="GX37" s="1"/>
      <c r="GY37" s="1"/>
      <c r="HA37" s="1"/>
      <c r="HB37" s="1"/>
      <c r="HD37" s="1"/>
      <c r="HE37" s="1"/>
    </row>
    <row r="38" spans="1:213" ht="15.75" customHeight="1" x14ac:dyDescent="0.3">
      <c r="A38" s="16"/>
      <c r="B38" s="16"/>
      <c r="C38" s="16"/>
      <c r="D38" s="16"/>
      <c r="E38" s="16"/>
      <c r="F38" s="16"/>
      <c r="G38" s="16"/>
      <c r="H38" s="16"/>
      <c r="I38" s="16"/>
      <c r="J38" s="16"/>
      <c r="K38" s="16"/>
      <c r="L38" s="16"/>
      <c r="M38" s="16"/>
      <c r="N38" s="16"/>
      <c r="O38" s="16"/>
      <c r="P38" s="16"/>
      <c r="Q38" s="16"/>
      <c r="R38" s="16"/>
      <c r="S38" s="16" t="s">
        <v>13</v>
      </c>
      <c r="T38" s="16">
        <f>SUM(T27:T37)</f>
        <v>541</v>
      </c>
      <c r="U38" s="16"/>
      <c r="V38" s="16"/>
      <c r="W38" s="16"/>
      <c r="X38" s="16"/>
      <c r="Y38" s="16"/>
      <c r="Z38" s="16"/>
      <c r="AA38" s="16"/>
      <c r="AB38" s="16"/>
      <c r="AC38" s="16"/>
      <c r="AD38" s="16"/>
      <c r="AE38" s="25" t="s">
        <v>627</v>
      </c>
      <c r="AF38" s="25">
        <v>125</v>
      </c>
      <c r="AG38" s="16"/>
      <c r="AH38" s="25" t="s">
        <v>587</v>
      </c>
      <c r="AI38" s="25">
        <v>35</v>
      </c>
      <c r="AJ38" s="16"/>
      <c r="AK38" s="16"/>
      <c r="AL38" s="16"/>
      <c r="AM38" s="16"/>
      <c r="AN38" s="16"/>
      <c r="AO38" s="16"/>
      <c r="AP38" s="16"/>
      <c r="AQ38" s="16"/>
      <c r="AR38" s="16"/>
      <c r="AS38" s="16"/>
      <c r="AT38" s="16"/>
      <c r="AU38" s="16"/>
      <c r="AV38" s="67">
        <f>AU36*0.00522</f>
        <v>6264</v>
      </c>
      <c r="AW38" s="16"/>
      <c r="AX38" s="16"/>
      <c r="AY38" s="16"/>
      <c r="AZ38" s="16"/>
      <c r="BA38" s="16"/>
      <c r="BB38" s="16"/>
      <c r="BC38" s="16"/>
      <c r="BD38" s="16"/>
      <c r="BE38" s="16"/>
      <c r="BF38" s="66" t="s">
        <v>111</v>
      </c>
      <c r="BG38" s="25">
        <v>16</v>
      </c>
      <c r="BH38" s="16"/>
      <c r="BI38" s="76" t="s">
        <v>628</v>
      </c>
      <c r="BJ38" s="25">
        <v>50</v>
      </c>
      <c r="BK38" s="16"/>
      <c r="BL38" s="25" t="s">
        <v>629</v>
      </c>
      <c r="BM38" s="25">
        <v>37</v>
      </c>
      <c r="BN38" s="16"/>
      <c r="BO38" s="25" t="s">
        <v>630</v>
      </c>
      <c r="BP38" s="25">
        <v>200</v>
      </c>
      <c r="BQ38" s="16"/>
      <c r="BR38" s="16"/>
      <c r="BS38" s="16"/>
      <c r="BT38" s="16"/>
      <c r="BU38" s="16"/>
      <c r="BV38" s="23"/>
      <c r="BW38" s="16"/>
      <c r="BX38" s="16" t="s">
        <v>13</v>
      </c>
      <c r="BY38" s="24">
        <f>SUM(BY28:BY37)</f>
        <v>577</v>
      </c>
      <c r="BZ38" s="16"/>
      <c r="CA38" s="74">
        <v>420</v>
      </c>
      <c r="CB38" s="25">
        <v>80</v>
      </c>
      <c r="CC38" s="16"/>
      <c r="CD38" s="25" t="s">
        <v>631</v>
      </c>
      <c r="CE38" s="25">
        <v>36</v>
      </c>
      <c r="CF38" s="16"/>
      <c r="CG38" s="25" t="s">
        <v>632</v>
      </c>
      <c r="CH38" s="25">
        <v>40</v>
      </c>
      <c r="CI38" s="16"/>
      <c r="CJ38" s="25" t="s">
        <v>100</v>
      </c>
      <c r="CK38" s="25">
        <v>12</v>
      </c>
      <c r="CL38" s="16"/>
      <c r="CM38" s="25" t="s">
        <v>111</v>
      </c>
      <c r="CN38" s="25">
        <v>27</v>
      </c>
      <c r="CO38" s="16"/>
      <c r="CP38" s="16"/>
      <c r="CQ38" s="16"/>
      <c r="CR38" s="16"/>
      <c r="CS38" s="16"/>
      <c r="CT38" s="16"/>
      <c r="CU38" s="16"/>
      <c r="CV38" s="16"/>
      <c r="CW38" s="16"/>
      <c r="CX38" s="16"/>
      <c r="CY38" s="16"/>
      <c r="CZ38" s="16"/>
      <c r="DA38" s="16"/>
      <c r="DB38" s="16"/>
      <c r="DC38" s="16"/>
      <c r="DD38" s="16"/>
      <c r="DE38" s="16"/>
      <c r="DF38" s="28" t="s">
        <v>633</v>
      </c>
      <c r="DG38" s="28">
        <v>30</v>
      </c>
      <c r="DH38" s="16"/>
      <c r="DI38" s="16"/>
      <c r="DJ38" s="16"/>
      <c r="DK38" s="16"/>
      <c r="DL38" s="16"/>
      <c r="DM38" s="16"/>
      <c r="DN38" s="16"/>
      <c r="DO38" s="16"/>
      <c r="DP38" s="16"/>
      <c r="DQ38" s="16"/>
      <c r="DR38" s="28" t="s">
        <v>222</v>
      </c>
      <c r="DS38" s="28">
        <v>14</v>
      </c>
      <c r="DX38" s="1"/>
      <c r="EA38" s="1"/>
      <c r="EB38" s="1"/>
      <c r="ED38" s="16"/>
      <c r="EE38" s="16"/>
      <c r="EG38" s="1"/>
      <c r="EH38" s="1"/>
      <c r="EJ38" s="1"/>
      <c r="EK38" s="1"/>
      <c r="EL38" s="15"/>
      <c r="EM38" s="1"/>
      <c r="EN38" s="1"/>
      <c r="EP38" s="28" t="s">
        <v>634</v>
      </c>
      <c r="EQ38" s="38">
        <v>52</v>
      </c>
      <c r="ER38" s="80"/>
      <c r="ES38" s="1" t="s">
        <v>13</v>
      </c>
      <c r="ET38" s="1">
        <f>SUM(ET20:ET37)</f>
        <v>1159</v>
      </c>
      <c r="EU38" s="1"/>
      <c r="EV38" s="1" t="s">
        <v>13</v>
      </c>
      <c r="EW38" s="1">
        <f>SUM(EW20:EW37)</f>
        <v>968</v>
      </c>
      <c r="EY38" s="1" t="s">
        <v>13</v>
      </c>
      <c r="EZ38" s="1">
        <f>SUM(EZ20:EZ37)</f>
        <v>524</v>
      </c>
      <c r="FB38" s="28" t="s">
        <v>635</v>
      </c>
      <c r="FC38" s="28">
        <v>19</v>
      </c>
      <c r="FE38" s="30" t="s">
        <v>636</v>
      </c>
      <c r="FF38" s="38">
        <v>43</v>
      </c>
      <c r="FH38" s="1" t="s">
        <v>13</v>
      </c>
      <c r="FI38" s="1">
        <f>SUM(FI20:FI37)</f>
        <v>1741</v>
      </c>
      <c r="FK38" s="1" t="s">
        <v>13</v>
      </c>
      <c r="FL38" s="1">
        <f>SUM(FL20:FL37)</f>
        <v>1113</v>
      </c>
      <c r="FN38" s="1" t="s">
        <v>13</v>
      </c>
      <c r="FO38" s="1">
        <f>SUM(FO20:FO37)</f>
        <v>6781</v>
      </c>
      <c r="FQ38" s="1" t="s">
        <v>13</v>
      </c>
      <c r="FR38" s="1">
        <f>SUM(FR20:FR37)</f>
        <v>1010</v>
      </c>
      <c r="FT38" s="179" t="s">
        <v>823</v>
      </c>
      <c r="FU38" s="179">
        <v>163</v>
      </c>
      <c r="FV38" s="24"/>
      <c r="FW38" s="189" t="s">
        <v>848</v>
      </c>
      <c r="FX38" s="189">
        <v>455</v>
      </c>
      <c r="FY38" s="24"/>
      <c r="FZ38" s="203" t="s">
        <v>880</v>
      </c>
      <c r="GA38" s="189">
        <v>71</v>
      </c>
      <c r="GB38" s="1"/>
      <c r="GC38" s="1" t="s">
        <v>13</v>
      </c>
      <c r="GD38" s="1">
        <f>SUM(GD20:GD37)</f>
        <v>3715</v>
      </c>
      <c r="GE38" s="1"/>
      <c r="GF38" s="203" t="s">
        <v>1045</v>
      </c>
      <c r="GG38" s="182">
        <v>32</v>
      </c>
      <c r="GH38" s="1"/>
      <c r="GI38" s="1" t="s">
        <v>13</v>
      </c>
      <c r="GJ38" s="1">
        <f>SUM(GJ20:GJ37)</f>
        <v>0</v>
      </c>
      <c r="GK38" s="1"/>
      <c r="GL38" s="1" t="s">
        <v>13</v>
      </c>
      <c r="GM38" s="1">
        <f>SUM(GM20:GM37)</f>
        <v>0</v>
      </c>
      <c r="GN38" s="1"/>
      <c r="GO38" s="1" t="s">
        <v>13</v>
      </c>
      <c r="GP38" s="1">
        <f>SUM(GP20:GP37)</f>
        <v>0</v>
      </c>
      <c r="GQ38" s="1"/>
      <c r="GR38" s="1" t="s">
        <v>13</v>
      </c>
      <c r="GS38" s="1">
        <f>SUM(GS20:GS37)</f>
        <v>0</v>
      </c>
      <c r="GT38" s="1"/>
      <c r="GU38" s="1" t="s">
        <v>13</v>
      </c>
      <c r="GV38" s="1">
        <f>SUM(GV20:GV37)</f>
        <v>0</v>
      </c>
      <c r="GX38" s="1" t="s">
        <v>13</v>
      </c>
      <c r="GY38" s="1">
        <f>SUM(GY20:GY37)</f>
        <v>0</v>
      </c>
      <c r="HA38" s="1" t="s">
        <v>13</v>
      </c>
      <c r="HB38" s="1">
        <f>SUM(HB20:HB37)</f>
        <v>0</v>
      </c>
      <c r="HD38" s="1" t="s">
        <v>13</v>
      </c>
      <c r="HE38" s="1">
        <f>SUM(HE20:HE37)</f>
        <v>0</v>
      </c>
    </row>
    <row r="39" spans="1:213" ht="15.75" customHeight="1"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25"/>
      <c r="AF39" s="25"/>
      <c r="AG39" s="16"/>
      <c r="AH39" s="25"/>
      <c r="AI39" s="25"/>
      <c r="AJ39" s="16"/>
      <c r="AK39" s="16"/>
      <c r="AL39" s="16"/>
      <c r="AM39" s="16"/>
      <c r="AN39" s="16"/>
      <c r="AO39" s="16"/>
      <c r="AP39" s="16"/>
      <c r="AQ39" s="16"/>
      <c r="AR39" s="16"/>
      <c r="AS39" s="16"/>
      <c r="AT39" s="16"/>
      <c r="AU39" s="16"/>
      <c r="AV39" s="67"/>
      <c r="AW39" s="16"/>
      <c r="AX39" s="16"/>
      <c r="AY39" s="16"/>
      <c r="AZ39" s="16"/>
      <c r="BA39" s="16"/>
      <c r="BB39" s="16"/>
      <c r="BC39" s="16"/>
      <c r="BD39" s="16"/>
      <c r="BE39" s="16"/>
      <c r="BF39" s="25"/>
      <c r="BG39" s="25"/>
      <c r="BH39" s="16"/>
      <c r="BI39" s="76"/>
      <c r="BJ39" s="25"/>
      <c r="BK39" s="16"/>
      <c r="BL39" s="25"/>
      <c r="BM39" s="25"/>
      <c r="BN39" s="16"/>
      <c r="BO39" s="25"/>
      <c r="BP39" s="25"/>
      <c r="BQ39" s="16"/>
      <c r="BR39" s="25"/>
      <c r="BS39" s="25"/>
      <c r="BT39" s="16"/>
      <c r="BU39" s="16"/>
      <c r="BV39" s="23"/>
      <c r="BW39" s="16"/>
      <c r="BX39" s="16"/>
      <c r="BY39" s="16"/>
      <c r="BZ39" s="16"/>
      <c r="CA39" s="74"/>
      <c r="CB39" s="25"/>
      <c r="CC39" s="16"/>
      <c r="CD39" s="25"/>
      <c r="CE39" s="25"/>
      <c r="CF39" s="16"/>
      <c r="CG39" s="16"/>
      <c r="CH39" s="16"/>
      <c r="CI39" s="16"/>
      <c r="CJ39" s="25"/>
      <c r="CK39" s="25"/>
      <c r="CL39" s="16"/>
      <c r="CM39" s="25"/>
      <c r="CN39" s="25"/>
      <c r="CO39" s="16"/>
      <c r="CP39" s="16"/>
      <c r="CQ39" s="16"/>
      <c r="CR39" s="16"/>
      <c r="CS39" s="16"/>
      <c r="CT39" s="16"/>
      <c r="CU39" s="16"/>
      <c r="CV39" s="16"/>
      <c r="CW39" s="16"/>
      <c r="CX39" s="16"/>
      <c r="CY39" s="16"/>
      <c r="CZ39" s="16"/>
      <c r="DA39" s="16"/>
      <c r="DB39" s="16"/>
      <c r="DC39" s="16"/>
      <c r="DD39" s="16"/>
      <c r="DE39" s="16"/>
      <c r="DF39" s="28" t="s">
        <v>637</v>
      </c>
      <c r="DG39" s="28">
        <v>43</v>
      </c>
      <c r="DH39" s="16"/>
      <c r="DI39" s="16"/>
      <c r="DJ39" s="16"/>
      <c r="DK39" s="16"/>
      <c r="DL39" s="16"/>
      <c r="DM39" s="16"/>
      <c r="DN39" s="16"/>
      <c r="DO39" s="16"/>
      <c r="DP39" s="16"/>
      <c r="DR39" s="28" t="s">
        <v>638</v>
      </c>
      <c r="DS39" s="28">
        <f>65+5</f>
        <v>70</v>
      </c>
      <c r="DX39" s="1"/>
      <c r="EA39" s="1"/>
      <c r="EB39" s="1"/>
      <c r="ED39" s="1"/>
      <c r="EE39" s="1">
        <v>1721</v>
      </c>
      <c r="EG39" s="1"/>
      <c r="EH39" s="1"/>
      <c r="EJ39" s="1"/>
      <c r="EK39" s="1"/>
      <c r="EL39" s="15"/>
      <c r="EM39" s="1"/>
      <c r="EN39" s="81"/>
      <c r="EP39" s="28" t="s">
        <v>639</v>
      </c>
      <c r="EQ39" s="38">
        <v>83</v>
      </c>
      <c r="ER39" s="80"/>
      <c r="ES39" s="1"/>
      <c r="ET39" s="1"/>
      <c r="EU39" s="1"/>
      <c r="EV39" s="1"/>
      <c r="EW39" s="1"/>
      <c r="EY39" s="1"/>
      <c r="EZ39" s="1"/>
      <c r="FB39" s="28" t="s">
        <v>229</v>
      </c>
      <c r="FC39" s="28">
        <v>189</v>
      </c>
      <c r="FE39" s="1" t="s">
        <v>13</v>
      </c>
      <c r="FF39" s="1">
        <f>SUM(FF20:FF37)</f>
        <v>1653</v>
      </c>
      <c r="FT39" s="179" t="s">
        <v>824</v>
      </c>
      <c r="FU39" s="179">
        <v>45</v>
      </c>
      <c r="FV39" s="20"/>
      <c r="FW39" s="189"/>
      <c r="FX39" s="189"/>
      <c r="FY39" s="20"/>
      <c r="FZ39" s="203" t="s">
        <v>882</v>
      </c>
      <c r="GA39" s="189">
        <f>14+108</f>
        <v>122</v>
      </c>
      <c r="GF39" s="1" t="s">
        <v>13</v>
      </c>
      <c r="GG39" s="1">
        <f>SUM(GG20:GG38)</f>
        <v>1468</v>
      </c>
    </row>
    <row r="40" spans="1:213" ht="15.75" customHeight="1" x14ac:dyDescent="0.3">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25"/>
      <c r="AF40" s="25"/>
      <c r="AG40" s="16"/>
      <c r="AH40" s="25"/>
      <c r="AI40" s="25"/>
      <c r="AJ40" s="16"/>
      <c r="AK40" s="16"/>
      <c r="AL40" s="16"/>
      <c r="AM40" s="16"/>
      <c r="AN40" s="16"/>
      <c r="AO40" s="16"/>
      <c r="AP40" s="16"/>
      <c r="AQ40" s="16"/>
      <c r="AR40" s="16"/>
      <c r="AS40" s="16"/>
      <c r="AT40" s="16"/>
      <c r="AU40" s="16"/>
      <c r="AV40" s="67"/>
      <c r="AW40" s="16"/>
      <c r="AX40" s="16"/>
      <c r="AY40" s="16"/>
      <c r="AZ40" s="16"/>
      <c r="BA40" s="16"/>
      <c r="BB40" s="16"/>
      <c r="BC40" s="16"/>
      <c r="BD40" s="16"/>
      <c r="BE40" s="16"/>
      <c r="BF40" s="25"/>
      <c r="BG40" s="25"/>
      <c r="BH40" s="16"/>
      <c r="BI40" s="76"/>
      <c r="BJ40" s="25"/>
      <c r="BK40" s="16"/>
      <c r="BL40" s="25"/>
      <c r="BM40" s="25"/>
      <c r="BN40" s="16"/>
      <c r="BO40" s="25"/>
      <c r="BP40" s="25"/>
      <c r="BQ40" s="16"/>
      <c r="BR40" s="25"/>
      <c r="BS40" s="25"/>
      <c r="BT40" s="16"/>
      <c r="BU40" s="16"/>
      <c r="BV40" s="23"/>
      <c r="BW40" s="16"/>
      <c r="BX40" s="16"/>
      <c r="BY40" s="16"/>
      <c r="BZ40" s="16"/>
      <c r="CA40" s="74"/>
      <c r="CB40" s="25"/>
      <c r="CC40" s="16"/>
      <c r="CD40" s="25"/>
      <c r="CE40" s="25"/>
      <c r="CF40" s="16"/>
      <c r="CG40" s="16"/>
      <c r="CH40" s="16"/>
      <c r="CI40" s="16"/>
      <c r="CJ40" s="25"/>
      <c r="CK40" s="25"/>
      <c r="CL40" s="16"/>
      <c r="CM40" s="25"/>
      <c r="CN40" s="25"/>
      <c r="CO40" s="16"/>
      <c r="CP40" s="16"/>
      <c r="CQ40" s="16"/>
      <c r="CR40" s="16"/>
      <c r="CS40" s="16"/>
      <c r="CT40" s="16"/>
      <c r="CU40" s="16"/>
      <c r="CV40" s="16"/>
      <c r="CW40" s="16"/>
      <c r="CX40" s="16"/>
      <c r="CY40" s="16"/>
      <c r="CZ40" s="16"/>
      <c r="DA40" s="16"/>
      <c r="DB40" s="16"/>
      <c r="DC40" s="16"/>
      <c r="DD40" s="16"/>
      <c r="DE40" s="16"/>
      <c r="DF40" s="28" t="s">
        <v>178</v>
      </c>
      <c r="DG40" s="28">
        <v>20</v>
      </c>
      <c r="DH40" s="16"/>
      <c r="DI40" s="16"/>
      <c r="DJ40" s="16"/>
      <c r="DK40" s="16"/>
      <c r="DL40" s="16"/>
      <c r="DM40" s="16"/>
      <c r="DN40" s="16"/>
      <c r="DO40" s="16"/>
      <c r="DP40" s="16"/>
      <c r="DR40" s="28" t="s">
        <v>640</v>
      </c>
      <c r="DS40" s="28">
        <v>750</v>
      </c>
      <c r="EA40" s="1"/>
      <c r="EB40" s="1"/>
      <c r="ED40" s="1"/>
      <c r="EE40" s="1"/>
      <c r="EG40" s="1"/>
      <c r="EH40" s="1"/>
      <c r="EJ40" s="38" t="s">
        <v>641</v>
      </c>
      <c r="EK40" s="38">
        <v>1199</v>
      </c>
      <c r="EL40" s="15"/>
      <c r="EM40" s="1"/>
      <c r="EN40" s="81"/>
      <c r="EP40" s="1" t="s">
        <v>13</v>
      </c>
      <c r="EQ40" s="1">
        <f>SUM(EQ22:EQ39)</f>
        <v>1925</v>
      </c>
      <c r="ER40" s="80"/>
      <c r="ES40" s="1"/>
      <c r="ET40" s="1"/>
      <c r="EU40" s="1"/>
      <c r="EV40" s="1"/>
      <c r="EW40" s="1"/>
      <c r="EY40" s="1"/>
      <c r="EZ40" s="1"/>
      <c r="FB40" s="28" t="s">
        <v>277</v>
      </c>
      <c r="FC40" s="28">
        <f>50-32</f>
        <v>18</v>
      </c>
      <c r="FE40" s="1"/>
      <c r="FK40" s="1"/>
      <c r="FL40" s="1"/>
      <c r="FT40" s="179" t="s">
        <v>826</v>
      </c>
      <c r="FU40" s="179">
        <f>196-38</f>
        <v>158</v>
      </c>
      <c r="FV40" s="24"/>
      <c r="FW40" s="189"/>
      <c r="FX40" s="189"/>
      <c r="FY40" s="24"/>
      <c r="FZ40" s="203" t="s">
        <v>888</v>
      </c>
      <c r="GA40" s="189">
        <f>66-50</f>
        <v>16</v>
      </c>
    </row>
    <row r="41" spans="1:213" ht="15.75" customHeight="1" x14ac:dyDescent="0.3">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25"/>
      <c r="AF41" s="25"/>
      <c r="AG41" s="16"/>
      <c r="AH41" s="25"/>
      <c r="AI41" s="25"/>
      <c r="AJ41" s="16"/>
      <c r="AK41" s="16"/>
      <c r="AL41" s="16"/>
      <c r="AM41" s="16"/>
      <c r="AN41" s="16"/>
      <c r="AO41" s="16"/>
      <c r="AP41" s="16"/>
      <c r="AQ41" s="16"/>
      <c r="AR41" s="16"/>
      <c r="AS41" s="16"/>
      <c r="AT41" s="16"/>
      <c r="AU41" s="16"/>
      <c r="AV41" s="67"/>
      <c r="AW41" s="16"/>
      <c r="AX41" s="16"/>
      <c r="AY41" s="16"/>
      <c r="AZ41" s="16"/>
      <c r="BA41" s="16"/>
      <c r="BB41" s="16"/>
      <c r="BC41" s="16"/>
      <c r="BD41" s="16"/>
      <c r="BE41" s="16"/>
      <c r="BF41" s="25"/>
      <c r="BG41" s="25"/>
      <c r="BH41" s="16"/>
      <c r="BI41" s="76"/>
      <c r="BJ41" s="25"/>
      <c r="BK41" s="16"/>
      <c r="BL41" s="25"/>
      <c r="BM41" s="25"/>
      <c r="BN41" s="16"/>
      <c r="BO41" s="25"/>
      <c r="BP41" s="25"/>
      <c r="BQ41" s="16"/>
      <c r="BR41" s="25"/>
      <c r="BS41" s="25"/>
      <c r="BT41" s="16"/>
      <c r="BU41" s="16"/>
      <c r="BV41" s="23"/>
      <c r="BW41" s="16"/>
      <c r="BX41" s="16"/>
      <c r="BY41" s="16"/>
      <c r="BZ41" s="16"/>
      <c r="CA41" s="74"/>
      <c r="CB41" s="25"/>
      <c r="CC41" s="16"/>
      <c r="CD41" s="25"/>
      <c r="CE41" s="25"/>
      <c r="CF41" s="16"/>
      <c r="CG41" s="16"/>
      <c r="CH41" s="16"/>
      <c r="CI41" s="16"/>
      <c r="CJ41" s="25"/>
      <c r="CK41" s="25"/>
      <c r="CL41" s="16"/>
      <c r="CM41" s="25"/>
      <c r="CN41" s="25"/>
      <c r="CO41" s="16"/>
      <c r="CP41" s="16"/>
      <c r="CQ41" s="16"/>
      <c r="CR41" s="16"/>
      <c r="CS41" s="16"/>
      <c r="CT41" s="16"/>
      <c r="CU41" s="16"/>
      <c r="CV41" s="16"/>
      <c r="CW41" s="16"/>
      <c r="CX41" s="16"/>
      <c r="CY41" s="16"/>
      <c r="CZ41" s="16"/>
      <c r="DA41" s="16"/>
      <c r="DB41" s="16"/>
      <c r="DC41" s="16"/>
      <c r="DD41" s="16"/>
      <c r="DE41" s="16"/>
      <c r="DF41" s="28" t="s">
        <v>273</v>
      </c>
      <c r="DG41" s="28">
        <v>18</v>
      </c>
      <c r="DH41" s="16"/>
      <c r="DI41" s="16"/>
      <c r="DJ41" s="16"/>
      <c r="DK41" s="16"/>
      <c r="DL41" s="16"/>
      <c r="DM41" s="16"/>
      <c r="DN41" s="16"/>
      <c r="DO41" s="16"/>
      <c r="DP41" s="16"/>
      <c r="DR41" s="28" t="s">
        <v>642</v>
      </c>
      <c r="DS41" s="28">
        <f>66+111+38</f>
        <v>215</v>
      </c>
      <c r="DT41" s="82"/>
      <c r="DU41" s="83"/>
      <c r="EA41" s="1"/>
      <c r="EB41" s="1"/>
      <c r="ED41" s="1"/>
      <c r="EE41" s="1"/>
      <c r="EG41" s="1"/>
      <c r="EH41" s="1"/>
      <c r="EJ41" s="38" t="s">
        <v>643</v>
      </c>
      <c r="EK41" s="38">
        <v>50</v>
      </c>
      <c r="EL41" s="15"/>
      <c r="EM41" s="1"/>
      <c r="EN41" s="81"/>
      <c r="EP41" s="38" t="s">
        <v>98</v>
      </c>
      <c r="EQ41" s="84">
        <v>115</v>
      </c>
      <c r="ER41" s="80"/>
      <c r="ES41" s="1"/>
      <c r="ET41" s="1"/>
      <c r="EU41" s="1"/>
      <c r="EV41" s="1"/>
      <c r="EW41" s="1"/>
      <c r="EY41" s="1"/>
      <c r="EZ41" s="1"/>
      <c r="FB41" s="28" t="s">
        <v>188</v>
      </c>
      <c r="FC41" s="28">
        <v>10</v>
      </c>
      <c r="FE41" s="1"/>
      <c r="FT41" s="1" t="s">
        <v>13</v>
      </c>
      <c r="FU41" s="1">
        <f>SUM(FU20:FU40)</f>
        <v>2660</v>
      </c>
      <c r="FV41" s="20"/>
      <c r="FW41" s="1" t="s">
        <v>13</v>
      </c>
      <c r="FX41" s="1">
        <f>SUM(FX20:FX38)</f>
        <v>5665</v>
      </c>
      <c r="FY41" s="20"/>
      <c r="FZ41" s="1" t="s">
        <v>13</v>
      </c>
      <c r="GA41" s="1">
        <f>SUM(GA21:GA40)</f>
        <v>6059</v>
      </c>
    </row>
    <row r="42" spans="1:213" ht="15.75" customHeight="1"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25"/>
      <c r="AF42" s="25"/>
      <c r="AG42" s="16"/>
      <c r="AH42" s="25"/>
      <c r="AI42" s="25"/>
      <c r="AJ42" s="16"/>
      <c r="AK42" s="16"/>
      <c r="AL42" s="16"/>
      <c r="AM42" s="16"/>
      <c r="AN42" s="16"/>
      <c r="AO42" s="16"/>
      <c r="AP42" s="16"/>
      <c r="AQ42" s="16"/>
      <c r="AR42" s="16"/>
      <c r="AS42" s="16"/>
      <c r="AT42" s="16"/>
      <c r="AU42" s="16"/>
      <c r="AV42" s="67"/>
      <c r="AW42" s="16"/>
      <c r="AX42" s="16"/>
      <c r="AY42" s="16"/>
      <c r="AZ42" s="16"/>
      <c r="BA42" s="16"/>
      <c r="BB42" s="16"/>
      <c r="BC42" s="16"/>
      <c r="BD42" s="16"/>
      <c r="BE42" s="16"/>
      <c r="BF42" s="25"/>
      <c r="BG42" s="25"/>
      <c r="BH42" s="16"/>
      <c r="BI42" s="76"/>
      <c r="BJ42" s="25"/>
      <c r="BK42" s="16"/>
      <c r="BL42" s="25"/>
      <c r="BM42" s="25"/>
      <c r="BN42" s="16"/>
      <c r="BO42" s="25"/>
      <c r="BP42" s="25"/>
      <c r="BQ42" s="16"/>
      <c r="BR42" s="25"/>
      <c r="BS42" s="25"/>
      <c r="BT42" s="16"/>
      <c r="BU42" s="16"/>
      <c r="BV42" s="23"/>
      <c r="BW42" s="16"/>
      <c r="BX42" s="16"/>
      <c r="BY42" s="16"/>
      <c r="BZ42" s="16"/>
      <c r="CA42" s="74"/>
      <c r="CB42" s="25"/>
      <c r="CC42" s="16"/>
      <c r="CD42" s="25"/>
      <c r="CE42" s="25"/>
      <c r="CF42" s="16"/>
      <c r="CG42" s="16"/>
      <c r="CH42" s="16"/>
      <c r="CI42" s="16"/>
      <c r="CJ42" s="25"/>
      <c r="CK42" s="25"/>
      <c r="CL42" s="16"/>
      <c r="CM42" s="25"/>
      <c r="CN42" s="25"/>
      <c r="CO42" s="16"/>
      <c r="CP42" s="16"/>
      <c r="CQ42" s="16"/>
      <c r="CR42" s="16"/>
      <c r="CS42" s="16"/>
      <c r="CT42" s="16"/>
      <c r="CU42" s="16"/>
      <c r="CV42" s="16"/>
      <c r="CW42" s="16"/>
      <c r="CX42" s="16"/>
      <c r="CY42" s="16"/>
      <c r="CZ42" s="16"/>
      <c r="DA42" s="16"/>
      <c r="DB42" s="16"/>
      <c r="DC42" s="16"/>
      <c r="DD42" s="16"/>
      <c r="DE42" s="16"/>
      <c r="DF42" s="28" t="s">
        <v>644</v>
      </c>
      <c r="DG42" s="28">
        <v>36</v>
      </c>
      <c r="DH42" s="16"/>
      <c r="DI42" s="16"/>
      <c r="DJ42" s="16"/>
      <c r="DK42" s="16"/>
      <c r="DL42" s="16"/>
      <c r="DM42" s="16"/>
      <c r="DN42" s="16"/>
      <c r="DO42" s="16"/>
      <c r="DP42" s="16"/>
      <c r="DR42" s="28" t="s">
        <v>117</v>
      </c>
      <c r="DS42" s="28">
        <v>47</v>
      </c>
      <c r="DT42" s="82"/>
      <c r="DU42" s="83"/>
      <c r="DZ42" s="1"/>
      <c r="EA42" s="1"/>
      <c r="EB42" s="1"/>
      <c r="EC42" s="1"/>
      <c r="ED42" s="1"/>
      <c r="EE42" s="1"/>
      <c r="EF42" s="1"/>
      <c r="EG42" s="1"/>
      <c r="EH42" s="1"/>
      <c r="EJ42" s="38" t="s">
        <v>645</v>
      </c>
      <c r="EK42" s="45">
        <v>19</v>
      </c>
      <c r="EL42" s="15"/>
      <c r="EM42" s="1"/>
      <c r="EN42" s="86"/>
      <c r="EO42" s="86"/>
      <c r="EP42" s="38" t="s">
        <v>208</v>
      </c>
      <c r="EQ42" s="84">
        <v>72</v>
      </c>
      <c r="ER42" s="1"/>
      <c r="ES42" s="1"/>
      <c r="ET42" s="1"/>
      <c r="EU42" s="1"/>
      <c r="EV42" s="1"/>
      <c r="EW42" s="1"/>
      <c r="EY42" s="1"/>
      <c r="EZ42" s="1"/>
      <c r="FB42" s="28" t="s">
        <v>646</v>
      </c>
      <c r="FC42" s="28">
        <v>50</v>
      </c>
      <c r="FH42" s="87" t="s">
        <v>647</v>
      </c>
      <c r="FI42" s="1">
        <v>400</v>
      </c>
      <c r="FV42" s="24"/>
      <c r="FY42" s="24"/>
    </row>
    <row r="43" spans="1:213" ht="15.75" customHeight="1" x14ac:dyDescent="0.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25" t="s">
        <v>425</v>
      </c>
      <c r="AF43" s="25">
        <v>22</v>
      </c>
      <c r="AG43" s="16"/>
      <c r="AH43" s="25" t="s">
        <v>648</v>
      </c>
      <c r="AI43" s="25">
        <v>32</v>
      </c>
      <c r="AJ43" s="16"/>
      <c r="AK43" s="16"/>
      <c r="AL43" s="16"/>
      <c r="AM43" s="16"/>
      <c r="AN43" s="16"/>
      <c r="AO43" s="16"/>
      <c r="AP43" s="16"/>
      <c r="AQ43" s="16"/>
      <c r="AR43" s="16"/>
      <c r="AS43" s="16"/>
      <c r="AT43" s="16"/>
      <c r="AU43" s="16"/>
      <c r="AV43" s="67">
        <f>SUM(AV36:AV38)</f>
        <v>348264</v>
      </c>
      <c r="AW43" s="16"/>
      <c r="AX43" s="16"/>
      <c r="AY43" s="16"/>
      <c r="AZ43" s="16"/>
      <c r="BA43" s="16"/>
      <c r="BB43" s="16"/>
      <c r="BC43" s="16"/>
      <c r="BD43" s="16"/>
      <c r="BE43" s="16"/>
      <c r="BF43" s="25" t="s">
        <v>13</v>
      </c>
      <c r="BG43" s="25">
        <f>SUM(BG27:BG38)</f>
        <v>676</v>
      </c>
      <c r="BH43" s="16"/>
      <c r="BI43" s="76" t="s">
        <v>649</v>
      </c>
      <c r="BJ43" s="25">
        <v>15</v>
      </c>
      <c r="BK43" s="16"/>
      <c r="BL43" s="25" t="s">
        <v>650</v>
      </c>
      <c r="BM43" s="25">
        <v>76</v>
      </c>
      <c r="BN43" s="16"/>
      <c r="BO43" s="25" t="s">
        <v>430</v>
      </c>
      <c r="BP43" s="25">
        <v>38</v>
      </c>
      <c r="BQ43" s="16"/>
      <c r="BR43" s="25" t="s">
        <v>651</v>
      </c>
      <c r="BS43" s="25">
        <v>42</v>
      </c>
      <c r="BT43" s="16"/>
      <c r="BU43" s="16"/>
      <c r="BV43" s="23"/>
      <c r="BW43" s="16"/>
      <c r="BX43" s="16"/>
      <c r="BY43" s="16"/>
      <c r="BZ43" s="16"/>
      <c r="CA43" s="74" t="s">
        <v>652</v>
      </c>
      <c r="CB43" s="25">
        <v>63</v>
      </c>
      <c r="CC43" s="16"/>
      <c r="CD43" s="25" t="s">
        <v>100</v>
      </c>
      <c r="CE43" s="25">
        <v>5</v>
      </c>
      <c r="CF43" s="16"/>
      <c r="CG43" s="16"/>
      <c r="CH43" s="16"/>
      <c r="CI43" s="16"/>
      <c r="CJ43" s="25" t="s">
        <v>430</v>
      </c>
      <c r="CK43" s="25">
        <v>13</v>
      </c>
      <c r="CL43" s="16"/>
      <c r="CM43" s="25" t="s">
        <v>653</v>
      </c>
      <c r="CN43" s="25">
        <v>18</v>
      </c>
      <c r="CO43" s="16"/>
      <c r="CP43" s="16"/>
      <c r="CQ43" s="16"/>
      <c r="CR43" s="16"/>
      <c r="CS43" s="16"/>
      <c r="CT43" s="16"/>
      <c r="CU43" s="16"/>
      <c r="CV43" s="16"/>
      <c r="CW43" s="16"/>
      <c r="CX43" s="16"/>
      <c r="CY43" s="16"/>
      <c r="CZ43" s="16"/>
      <c r="DA43" s="16"/>
      <c r="DB43" s="16"/>
      <c r="DC43" s="16"/>
      <c r="DD43" s="16"/>
      <c r="DE43" s="16"/>
      <c r="DF43" s="16" t="s">
        <v>111</v>
      </c>
      <c r="DG43" s="16">
        <f>SUM(DG24:DG42)</f>
        <v>754</v>
      </c>
      <c r="DH43" s="16"/>
      <c r="DI43" s="16"/>
      <c r="DJ43" s="16"/>
      <c r="DK43" s="16"/>
      <c r="DL43" s="16"/>
      <c r="DM43" s="16"/>
      <c r="DN43" s="16"/>
      <c r="DO43" s="16"/>
      <c r="DP43" s="16"/>
      <c r="DQ43" s="1"/>
      <c r="DR43" s="28" t="s">
        <v>654</v>
      </c>
      <c r="DS43" s="28">
        <f>161+2</f>
        <v>163</v>
      </c>
      <c r="DT43" s="88"/>
      <c r="DU43" s="1"/>
      <c r="DV43" s="1"/>
      <c r="DW43" s="1"/>
      <c r="EA43" s="1"/>
      <c r="EB43" s="1"/>
      <c r="ED43" s="1"/>
      <c r="EE43" s="1"/>
      <c r="EG43" s="1"/>
      <c r="EH43" s="1"/>
      <c r="EJ43" s="38" t="s">
        <v>655</v>
      </c>
      <c r="EK43" s="45">
        <v>10</v>
      </c>
      <c r="EL43" s="15"/>
      <c r="EM43" s="1"/>
      <c r="EN43" s="1"/>
      <c r="EP43" s="38"/>
      <c r="EQ43" s="84"/>
      <c r="ER43" s="1"/>
      <c r="ES43" s="1"/>
      <c r="ET43" s="1"/>
      <c r="EU43" s="1"/>
      <c r="EV43" s="1"/>
      <c r="EW43" s="1"/>
      <c r="EY43" s="1"/>
      <c r="EZ43" s="1"/>
      <c r="FB43" s="1" t="s">
        <v>13</v>
      </c>
      <c r="FC43" s="1">
        <f>SUM(FC20:FC42)</f>
        <v>5608</v>
      </c>
      <c r="FH43" s="87" t="s">
        <v>656</v>
      </c>
      <c r="FI43" s="21">
        <v>105</v>
      </c>
      <c r="FT43" s="18" t="s">
        <v>133</v>
      </c>
      <c r="FV43" s="20"/>
      <c r="FY43" s="20"/>
    </row>
    <row r="44" spans="1:213" ht="15.75" customHeight="1" x14ac:dyDescent="0.3">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25"/>
      <c r="AF44" s="25"/>
      <c r="AG44" s="16"/>
      <c r="AH44" s="25" t="s">
        <v>658</v>
      </c>
      <c r="AI44" s="25">
        <v>9</v>
      </c>
      <c r="AJ44" s="16"/>
      <c r="AK44" s="16"/>
      <c r="AL44" s="17"/>
      <c r="AM44" s="16"/>
      <c r="AN44" s="16"/>
      <c r="AO44" s="16"/>
      <c r="AP44" s="16"/>
      <c r="AQ44" s="16"/>
      <c r="AR44" s="16"/>
      <c r="AS44" s="16"/>
      <c r="AT44" s="67"/>
      <c r="AU44" s="16"/>
      <c r="AV44" s="16"/>
      <c r="AW44" s="16"/>
      <c r="AX44" s="16"/>
      <c r="AY44" s="16"/>
      <c r="AZ44" s="16"/>
      <c r="BA44" s="16"/>
      <c r="BB44" s="16"/>
      <c r="BC44" s="16"/>
      <c r="BD44" s="16"/>
      <c r="BE44" s="16"/>
      <c r="BF44" s="16"/>
      <c r="BG44" s="16"/>
      <c r="BH44" s="16"/>
      <c r="BI44" s="76" t="s">
        <v>407</v>
      </c>
      <c r="BJ44" s="25">
        <v>38</v>
      </c>
      <c r="BK44" s="16"/>
      <c r="BL44" s="25" t="s">
        <v>659</v>
      </c>
      <c r="BM44" s="25">
        <v>76</v>
      </c>
      <c r="BN44" s="16"/>
      <c r="BO44" s="25" t="s">
        <v>394</v>
      </c>
      <c r="BP44" s="25">
        <f>47+15</f>
        <v>62</v>
      </c>
      <c r="BQ44" s="16"/>
      <c r="BR44" s="25" t="s">
        <v>660</v>
      </c>
      <c r="BS44" s="25">
        <v>42</v>
      </c>
      <c r="BT44" s="16"/>
      <c r="BU44" s="16"/>
      <c r="BV44" s="23"/>
      <c r="BW44" s="16"/>
      <c r="BX44" s="16"/>
      <c r="BY44" s="16"/>
      <c r="BZ44" s="16"/>
      <c r="CA44" s="74" t="s">
        <v>661</v>
      </c>
      <c r="CB44" s="25">
        <v>110</v>
      </c>
      <c r="CC44" s="16"/>
      <c r="CD44" s="25" t="s">
        <v>662</v>
      </c>
      <c r="CE44" s="25">
        <v>246</v>
      </c>
      <c r="CF44" s="16"/>
      <c r="CG44" s="16"/>
      <c r="CH44" s="16"/>
      <c r="CI44" s="16"/>
      <c r="CJ44" s="25" t="s">
        <v>663</v>
      </c>
      <c r="CK44" s="25">
        <v>62</v>
      </c>
      <c r="CL44" s="16"/>
      <c r="CM44" s="25" t="s">
        <v>100</v>
      </c>
      <c r="CN44" s="25">
        <v>18</v>
      </c>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
      <c r="DP44" s="1"/>
      <c r="DQ44" s="1"/>
      <c r="DR44" s="16" t="s">
        <v>111</v>
      </c>
      <c r="DS44" s="16">
        <f>SUM(DS21:DS43)</f>
        <v>3329</v>
      </c>
      <c r="DT44" s="1"/>
      <c r="DU44" s="1"/>
      <c r="DV44" s="1"/>
      <c r="DW44" s="1"/>
      <c r="DY44" s="1"/>
      <c r="EB44" s="1"/>
      <c r="EE44" s="1"/>
      <c r="EJ44" s="38" t="s">
        <v>664</v>
      </c>
      <c r="EK44" s="45">
        <f>(EK40+EK41+EK42+EK43)*0.0825</f>
        <v>105.435</v>
      </c>
      <c r="EL44" s="15"/>
      <c r="EM44" s="1"/>
      <c r="EN44" s="1"/>
      <c r="EP44" s="38"/>
      <c r="EQ44" s="84"/>
      <c r="ER44" s="1"/>
      <c r="ES44" s="1"/>
      <c r="ET44" s="1"/>
      <c r="EU44" s="1"/>
      <c r="EV44" s="1"/>
      <c r="EW44" s="1"/>
      <c r="EY44" s="1"/>
      <c r="EZ44" s="1"/>
      <c r="FB44" s="1"/>
      <c r="FC44" s="1"/>
      <c r="FG44" s="89"/>
      <c r="FH44" s="87" t="s">
        <v>665</v>
      </c>
      <c r="FI44" s="1">
        <v>437</v>
      </c>
      <c r="FT44" s="85" t="s">
        <v>245</v>
      </c>
      <c r="FU44" s="85">
        <v>100</v>
      </c>
      <c r="FV44" s="24"/>
      <c r="FY44" s="24"/>
    </row>
    <row r="45" spans="1:213" ht="15.75" customHeight="1" x14ac:dyDescent="0.3">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25" t="s">
        <v>13</v>
      </c>
      <c r="AF45" s="25">
        <f>SUM(AF36:AF44)</f>
        <v>278</v>
      </c>
      <c r="AG45" s="16"/>
      <c r="AH45" s="50" t="s">
        <v>13</v>
      </c>
      <c r="AI45" s="50">
        <f>SUM(AI26:AI44)</f>
        <v>1327</v>
      </c>
      <c r="AJ45" s="16"/>
      <c r="AK45" s="16"/>
      <c r="AL45" s="90"/>
      <c r="AM45" s="16"/>
      <c r="AN45" s="16"/>
      <c r="AO45" s="16"/>
      <c r="AP45" s="16"/>
      <c r="AQ45" s="16"/>
      <c r="AR45" s="16"/>
      <c r="AS45" s="16"/>
      <c r="AT45" s="16"/>
      <c r="AU45" s="16"/>
      <c r="AV45" s="16"/>
      <c r="AW45" s="16"/>
      <c r="AX45" s="67">
        <f>AV49-AV43</f>
        <v>-134811.83351999999</v>
      </c>
      <c r="AY45" s="16"/>
      <c r="AZ45" s="16"/>
      <c r="BA45" s="16"/>
      <c r="BB45" s="16"/>
      <c r="BC45" s="16"/>
      <c r="BD45" s="16"/>
      <c r="BE45" s="16"/>
      <c r="BF45" s="16"/>
      <c r="BG45" s="16"/>
      <c r="BH45" s="16"/>
      <c r="BI45" s="76" t="s">
        <v>111</v>
      </c>
      <c r="BJ45" s="25">
        <v>10</v>
      </c>
      <c r="BK45" s="16"/>
      <c r="BL45" s="25" t="s">
        <v>667</v>
      </c>
      <c r="BM45" s="25">
        <v>90</v>
      </c>
      <c r="BN45" s="16"/>
      <c r="BO45" s="25" t="s">
        <v>668</v>
      </c>
      <c r="BP45" s="25">
        <v>60</v>
      </c>
      <c r="BQ45" s="16"/>
      <c r="BR45" s="25" t="s">
        <v>669</v>
      </c>
      <c r="BS45" s="25">
        <v>40</v>
      </c>
      <c r="BT45" s="16"/>
      <c r="BU45" s="16"/>
      <c r="BV45" s="16"/>
      <c r="BW45" s="16"/>
      <c r="BX45" s="16"/>
      <c r="BY45" s="16"/>
      <c r="BZ45" s="16"/>
      <c r="CA45" s="74" t="s">
        <v>122</v>
      </c>
      <c r="CB45" s="25">
        <v>68</v>
      </c>
      <c r="CC45" s="16"/>
      <c r="CD45" s="16"/>
      <c r="CE45" s="16"/>
      <c r="CF45" s="16"/>
      <c r="CG45" s="16" t="s">
        <v>13</v>
      </c>
      <c r="CH45" s="24">
        <f>SUM(CH28:CH44)</f>
        <v>1281</v>
      </c>
      <c r="CI45" s="16"/>
      <c r="CJ45" s="25" t="s">
        <v>670</v>
      </c>
      <c r="CK45" s="25">
        <v>65</v>
      </c>
      <c r="CL45" s="16"/>
      <c r="CM45" s="25" t="s">
        <v>671</v>
      </c>
      <c r="CN45" s="25">
        <f>44+29</f>
        <v>73</v>
      </c>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
      <c r="DP45" s="1"/>
      <c r="DQ45" s="1"/>
      <c r="DT45" s="1"/>
      <c r="DU45" s="1"/>
      <c r="DV45" s="1"/>
      <c r="DW45" s="1"/>
      <c r="EA45" s="1"/>
      <c r="EB45" s="1"/>
      <c r="ED45" s="1"/>
      <c r="EE45" s="1"/>
      <c r="EG45" s="1"/>
      <c r="EH45" s="1"/>
      <c r="EJ45" s="38" t="s">
        <v>672</v>
      </c>
      <c r="EK45" s="45">
        <v>0</v>
      </c>
      <c r="EL45" s="15"/>
      <c r="EM45" s="1"/>
      <c r="EN45" s="86"/>
      <c r="EP45" s="1"/>
      <c r="EQ45" s="1"/>
      <c r="ER45" s="1"/>
      <c r="ES45" s="1"/>
      <c r="ET45" s="1"/>
      <c r="EU45" s="1"/>
      <c r="EV45" s="1"/>
      <c r="EW45" s="1"/>
      <c r="EY45" s="1"/>
      <c r="EZ45" s="1"/>
      <c r="FB45" s="1"/>
      <c r="FC45" s="1"/>
      <c r="FG45" s="89"/>
      <c r="FI45" s="1"/>
      <c r="FJ45" s="1"/>
      <c r="FK45" s="1"/>
      <c r="FL45" s="1"/>
      <c r="FM45" s="1"/>
      <c r="FT45" s="85" t="s">
        <v>98</v>
      </c>
      <c r="FU45" s="85">
        <v>45</v>
      </c>
      <c r="FV45" s="20"/>
      <c r="FY45" s="20"/>
      <c r="FZ45" t="s">
        <v>852</v>
      </c>
      <c r="GC45" s="206" t="s">
        <v>852</v>
      </c>
      <c r="GI45" s="281"/>
    </row>
    <row r="46" spans="1:213" ht="15.75" customHeight="1" x14ac:dyDescent="0.3">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90"/>
      <c r="AM46" s="16"/>
      <c r="AN46" s="16"/>
      <c r="AO46" s="16"/>
      <c r="AP46" s="16"/>
      <c r="AQ46" s="16"/>
      <c r="AR46" s="16"/>
      <c r="AS46" s="16"/>
      <c r="AT46" s="67">
        <v>1838710</v>
      </c>
      <c r="AU46" s="67">
        <f>$AT$46*0.4</f>
        <v>735484</v>
      </c>
      <c r="AV46" s="67">
        <f>AU46*0.125</f>
        <v>91935.5</v>
      </c>
      <c r="AW46" s="67">
        <f>AU46/30</f>
        <v>24516.133333333335</v>
      </c>
      <c r="AX46" s="67"/>
      <c r="AY46" s="91">
        <f>(AV46*100%)/12.5%</f>
        <v>735484</v>
      </c>
      <c r="AZ46" s="16"/>
      <c r="BA46" s="16"/>
      <c r="BB46" s="16"/>
      <c r="BC46" s="16"/>
      <c r="BD46" s="16"/>
      <c r="BE46" s="16"/>
      <c r="BF46" s="16"/>
      <c r="BG46" s="16"/>
      <c r="BH46" s="16"/>
      <c r="BI46" s="76" t="s">
        <v>152</v>
      </c>
      <c r="BJ46" s="25">
        <v>60</v>
      </c>
      <c r="BK46" s="16"/>
      <c r="BL46" s="25" t="s">
        <v>674</v>
      </c>
      <c r="BM46" s="25">
        <v>24</v>
      </c>
      <c r="BN46" s="16"/>
      <c r="BO46" s="25" t="s">
        <v>675</v>
      </c>
      <c r="BP46" s="25">
        <v>115</v>
      </c>
      <c r="BQ46" s="16"/>
      <c r="BR46" s="25" t="s">
        <v>676</v>
      </c>
      <c r="BS46" s="25">
        <f>50+30+5+5+13+10+20</f>
        <v>133</v>
      </c>
      <c r="BT46" s="16"/>
      <c r="BU46" s="25" t="s">
        <v>268</v>
      </c>
      <c r="BV46" s="25">
        <v>45</v>
      </c>
      <c r="BW46" s="16"/>
      <c r="BX46" s="16"/>
      <c r="BY46" s="16"/>
      <c r="BZ46" s="16"/>
      <c r="CA46" s="74" t="s">
        <v>677</v>
      </c>
      <c r="CB46" s="25">
        <v>27</v>
      </c>
      <c r="CC46" s="16"/>
      <c r="CD46" s="16"/>
      <c r="CE46" s="16"/>
      <c r="CF46" s="16"/>
      <c r="CG46" s="16"/>
      <c r="CH46" s="16"/>
      <c r="CI46" s="16"/>
      <c r="CJ46" s="25" t="s">
        <v>13</v>
      </c>
      <c r="CK46" s="36">
        <f>SUM(CK28:CK45)</f>
        <v>751</v>
      </c>
      <c r="CL46" s="16"/>
      <c r="CM46" s="16" t="s">
        <v>13</v>
      </c>
      <c r="CN46" s="24">
        <f>SUM(CN28:CN45)</f>
        <v>1199</v>
      </c>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
      <c r="DP46" s="1"/>
      <c r="DQ46" s="1"/>
      <c r="DS46" s="1"/>
      <c r="DT46" s="1"/>
      <c r="DU46" s="1"/>
      <c r="DV46" s="1"/>
      <c r="DW46" s="1"/>
      <c r="EA46" s="1"/>
      <c r="EB46" s="1"/>
      <c r="ED46" s="1"/>
      <c r="EE46" s="1"/>
      <c r="EG46" s="1"/>
      <c r="EH46" s="1"/>
      <c r="EJ46" s="38" t="s">
        <v>13</v>
      </c>
      <c r="EK46" s="45">
        <f>EK40+EK41+EK44-EK45+EK42+EK43</f>
        <v>1383.4349999999999</v>
      </c>
      <c r="EL46" s="15"/>
      <c r="EM46" s="1"/>
      <c r="EN46" s="1"/>
      <c r="EP46" s="1"/>
      <c r="EQ46" s="1"/>
      <c r="ER46" s="1"/>
      <c r="ES46" s="1"/>
      <c r="ET46" s="1"/>
      <c r="EU46" s="1"/>
      <c r="EV46" s="1"/>
      <c r="EW46" s="1"/>
      <c r="EY46" s="1"/>
      <c r="EZ46" s="1"/>
      <c r="FB46" s="1"/>
      <c r="FC46" s="1"/>
      <c r="FG46" s="89"/>
      <c r="FK46" s="1"/>
      <c r="FL46" s="1"/>
      <c r="FM46" s="1"/>
      <c r="FT46" s="85" t="s">
        <v>657</v>
      </c>
      <c r="FU46" s="85">
        <v>45</v>
      </c>
      <c r="FV46" s="33"/>
      <c r="FY46" s="24"/>
      <c r="FZ46" s="189" t="s">
        <v>853</v>
      </c>
      <c r="GA46" s="189">
        <v>171</v>
      </c>
      <c r="GC46" s="197" t="s">
        <v>237</v>
      </c>
      <c r="GD46" s="197">
        <v>24</v>
      </c>
      <c r="GE46" s="207"/>
      <c r="GF46" s="233" t="s">
        <v>852</v>
      </c>
      <c r="GG46" s="233"/>
      <c r="GI46" s="281"/>
    </row>
    <row r="47" spans="1:213" ht="15.75" customHeight="1" x14ac:dyDescent="0.3">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25" t="s">
        <v>678</v>
      </c>
      <c r="AI47" s="25">
        <v>185</v>
      </c>
      <c r="AJ47" s="16"/>
      <c r="AK47" s="16"/>
      <c r="AL47" s="90"/>
      <c r="AM47" s="16"/>
      <c r="AN47" s="16"/>
      <c r="AO47" s="16"/>
      <c r="AP47" s="16"/>
      <c r="AQ47" s="16"/>
      <c r="AR47" s="16"/>
      <c r="AS47" s="16"/>
      <c r="AT47" s="16"/>
      <c r="AU47" s="16"/>
      <c r="AV47" s="67">
        <f>AU46*0.16</f>
        <v>117677.44</v>
      </c>
      <c r="AW47" s="16" t="s">
        <v>679</v>
      </c>
      <c r="AX47" s="16"/>
      <c r="AY47" s="91">
        <f>(AV47*100%)/16%</f>
        <v>735484</v>
      </c>
      <c r="AZ47" s="16"/>
      <c r="BA47" s="16"/>
      <c r="BB47" s="16"/>
      <c r="BC47" s="16"/>
      <c r="BD47" s="16"/>
      <c r="BE47" s="16"/>
      <c r="BF47" s="16"/>
      <c r="BG47" s="16"/>
      <c r="BH47" s="16"/>
      <c r="BI47" s="76" t="s">
        <v>680</v>
      </c>
      <c r="BJ47" s="25">
        <v>85</v>
      </c>
      <c r="BK47" s="16"/>
      <c r="BL47" s="26" t="s">
        <v>391</v>
      </c>
      <c r="BM47" s="26">
        <v>0</v>
      </c>
      <c r="BN47" s="16"/>
      <c r="BO47" s="79" t="s">
        <v>681</v>
      </c>
      <c r="BP47" s="25">
        <v>109</v>
      </c>
      <c r="BQ47" s="16"/>
      <c r="BR47" s="25" t="s">
        <v>234</v>
      </c>
      <c r="BS47" s="25">
        <v>115</v>
      </c>
      <c r="BT47" s="16"/>
      <c r="BU47" s="25" t="s">
        <v>682</v>
      </c>
      <c r="BV47" s="25">
        <v>28</v>
      </c>
      <c r="BW47" s="16"/>
      <c r="BX47" s="16"/>
      <c r="BY47" s="16"/>
      <c r="BZ47" s="16"/>
      <c r="CA47" s="74" t="s">
        <v>683</v>
      </c>
      <c r="CB47" s="25">
        <v>31</v>
      </c>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
      <c r="DP47" s="1"/>
      <c r="DQ47" s="1"/>
      <c r="DS47" s="1"/>
      <c r="DT47" s="1"/>
      <c r="DU47" s="1"/>
      <c r="DV47" s="1"/>
      <c r="DW47" s="1"/>
      <c r="EA47" s="1"/>
      <c r="EB47" s="1"/>
      <c r="ED47" s="1"/>
      <c r="EE47" s="1"/>
      <c r="EG47" s="1"/>
      <c r="EH47" s="1"/>
      <c r="EJ47" s="1"/>
      <c r="EK47" s="21"/>
      <c r="EL47" s="15"/>
      <c r="EM47" s="1"/>
      <c r="EN47" s="86"/>
      <c r="EP47" s="1" t="s">
        <v>167</v>
      </c>
      <c r="EQ47" s="1"/>
      <c r="ER47" s="1"/>
      <c r="ES47" s="1"/>
      <c r="ET47" s="1"/>
      <c r="EU47" s="1"/>
      <c r="EV47" s="1"/>
      <c r="EW47" s="1"/>
      <c r="EY47" s="1"/>
      <c r="EZ47" s="1"/>
      <c r="FB47" s="1"/>
      <c r="FC47" s="1"/>
      <c r="FG47" s="89"/>
      <c r="FK47" s="1"/>
      <c r="FT47" s="85" t="s">
        <v>666</v>
      </c>
      <c r="FU47" s="85">
        <v>45</v>
      </c>
      <c r="FV47" s="20"/>
      <c r="FY47" s="20"/>
      <c r="FZ47" s="197" t="s">
        <v>238</v>
      </c>
      <c r="GA47" s="197">
        <v>15</v>
      </c>
      <c r="GC47" s="197" t="s">
        <v>889</v>
      </c>
      <c r="GD47" s="197">
        <v>34</v>
      </c>
      <c r="GE47" s="207"/>
      <c r="GF47" s="211" t="s">
        <v>857</v>
      </c>
      <c r="GG47" s="197">
        <f>-35-352-27-340</f>
        <v>-754</v>
      </c>
      <c r="GI47" s="281"/>
    </row>
    <row r="48" spans="1:213" ht="15.75" customHeight="1" x14ac:dyDescent="0.3">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25" t="s">
        <v>111</v>
      </c>
      <c r="AI48" s="25">
        <v>378</v>
      </c>
      <c r="AJ48" s="16"/>
      <c r="AK48" s="16"/>
      <c r="AL48" s="90"/>
      <c r="AM48" s="16"/>
      <c r="AN48" s="16"/>
      <c r="AO48" s="16"/>
      <c r="AP48" s="16"/>
      <c r="AQ48" s="16"/>
      <c r="AR48" s="16"/>
      <c r="AS48" s="16"/>
      <c r="AT48" s="16"/>
      <c r="AU48" s="16"/>
      <c r="AV48" s="67">
        <f>AU46*0.00522</f>
        <v>3839.2264799999998</v>
      </c>
      <c r="AW48" s="16"/>
      <c r="AX48" s="16"/>
      <c r="AY48" s="91">
        <f>(AV48*100%)/0.522%</f>
        <v>735484</v>
      </c>
      <c r="AZ48" s="16"/>
      <c r="BA48" s="16"/>
      <c r="BB48" s="16"/>
      <c r="BC48" s="16"/>
      <c r="BD48" s="16"/>
      <c r="BE48" s="16"/>
      <c r="BF48" s="16"/>
      <c r="BG48" s="16"/>
      <c r="BH48" s="16"/>
      <c r="BI48" s="76" t="s">
        <v>685</v>
      </c>
      <c r="BJ48" s="25">
        <v>55</v>
      </c>
      <c r="BK48" s="16"/>
      <c r="BL48" s="25" t="s">
        <v>108</v>
      </c>
      <c r="BM48" s="25">
        <v>9</v>
      </c>
      <c r="BN48" s="16"/>
      <c r="BO48" s="79" t="s">
        <v>686</v>
      </c>
      <c r="BP48" s="25">
        <v>63</v>
      </c>
      <c r="BQ48" s="16"/>
      <c r="BR48" s="25" t="s">
        <v>687</v>
      </c>
      <c r="BS48" s="25">
        <v>71</v>
      </c>
      <c r="BT48" s="16"/>
      <c r="BU48" s="25" t="s">
        <v>688</v>
      </c>
      <c r="BV48" s="25">
        <v>19</v>
      </c>
      <c r="BW48" s="16"/>
      <c r="BX48" s="16"/>
      <c r="BY48" s="16"/>
      <c r="BZ48" s="16"/>
      <c r="CA48" s="74" t="s">
        <v>689</v>
      </c>
      <c r="CB48" s="25">
        <v>12</v>
      </c>
      <c r="CC48" s="16"/>
      <c r="CD48" s="16" t="s">
        <v>13</v>
      </c>
      <c r="CE48" s="24">
        <f>SUM(CE27:CE47)</f>
        <v>978</v>
      </c>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
      <c r="DP48" s="1"/>
      <c r="DQ48" s="1"/>
      <c r="DS48" s="1"/>
      <c r="DT48" s="1"/>
      <c r="DU48" s="1"/>
      <c r="DV48" s="1"/>
      <c r="DW48" s="1"/>
      <c r="EA48" s="1"/>
      <c r="EB48" s="1"/>
      <c r="ED48" s="1"/>
      <c r="EE48" s="1"/>
      <c r="EG48" s="1"/>
      <c r="EH48" s="1"/>
      <c r="EJ48" s="1"/>
      <c r="EK48" s="21"/>
      <c r="EL48" s="15"/>
      <c r="EM48" s="1"/>
      <c r="EN48" s="1"/>
      <c r="EP48" s="38" t="s">
        <v>690</v>
      </c>
      <c r="EQ48" s="38">
        <v>110</v>
      </c>
      <c r="ER48" s="1"/>
      <c r="ES48" s="1"/>
      <c r="ET48" s="1"/>
      <c r="EU48" s="1"/>
      <c r="EV48" s="1"/>
      <c r="EW48" s="1"/>
      <c r="EY48" s="1"/>
      <c r="EZ48" s="1"/>
      <c r="FB48" s="1"/>
      <c r="FC48" s="1"/>
      <c r="FG48" s="89"/>
      <c r="FK48" s="1"/>
      <c r="FT48" s="85" t="s">
        <v>673</v>
      </c>
      <c r="FU48" s="85">
        <v>45</v>
      </c>
      <c r="FV48" s="22"/>
      <c r="FY48" s="20"/>
      <c r="FZ48" s="197" t="s">
        <v>855</v>
      </c>
      <c r="GA48" s="197">
        <v>50</v>
      </c>
      <c r="GC48" s="211" t="s">
        <v>890</v>
      </c>
      <c r="GD48" s="197">
        <f>124-60</f>
        <v>64</v>
      </c>
      <c r="GE48" s="207"/>
      <c r="GF48" s="279" t="s">
        <v>1033</v>
      </c>
      <c r="GG48" s="197">
        <v>46</v>
      </c>
      <c r="GI48" s="281"/>
    </row>
    <row r="49" spans="1:219" ht="15.75" customHeight="1" x14ac:dyDescent="0.3">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25" t="s">
        <v>691</v>
      </c>
      <c r="AI49" s="25">
        <f>SUM(AI47:AI48)</f>
        <v>563</v>
      </c>
      <c r="AJ49" s="16"/>
      <c r="AK49" s="16"/>
      <c r="AL49" s="16"/>
      <c r="AM49" s="16"/>
      <c r="AN49" s="16"/>
      <c r="AO49" s="16"/>
      <c r="AP49" s="16"/>
      <c r="AQ49" s="16"/>
      <c r="AR49" s="16"/>
      <c r="AS49" s="16"/>
      <c r="AT49" s="16"/>
      <c r="AU49" s="16"/>
      <c r="AV49" s="67">
        <f>SUM(AV46:AV48)</f>
        <v>213452.16648000001</v>
      </c>
      <c r="AW49" s="16"/>
      <c r="AX49" s="92"/>
      <c r="AY49" s="67"/>
      <c r="AZ49" s="16"/>
      <c r="BA49" s="16"/>
      <c r="BB49" s="16"/>
      <c r="BC49" s="16"/>
      <c r="BD49" s="16"/>
      <c r="BE49" s="16"/>
      <c r="BF49" s="16"/>
      <c r="BG49" s="16"/>
      <c r="BH49" s="16"/>
      <c r="BI49" s="93" t="s">
        <v>692</v>
      </c>
      <c r="BJ49" s="26">
        <v>10</v>
      </c>
      <c r="BK49" s="16"/>
      <c r="BL49" s="25" t="s">
        <v>693</v>
      </c>
      <c r="BM49" s="25">
        <v>47</v>
      </c>
      <c r="BN49" s="16"/>
      <c r="BO49" s="16"/>
      <c r="BP49" s="16"/>
      <c r="BQ49" s="16"/>
      <c r="BR49" s="25" t="s">
        <v>694</v>
      </c>
      <c r="BS49" s="25">
        <v>14</v>
      </c>
      <c r="BT49" s="16"/>
      <c r="BU49" s="25" t="s">
        <v>695</v>
      </c>
      <c r="BV49" s="25">
        <v>114</v>
      </c>
      <c r="BW49" s="16"/>
      <c r="BX49" s="16"/>
      <c r="BY49" s="16"/>
      <c r="BZ49" s="16"/>
      <c r="CA49" s="74" t="s">
        <v>696</v>
      </c>
      <c r="CB49" s="25">
        <v>60</v>
      </c>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
      <c r="DP49" s="1"/>
      <c r="DQ49" s="1"/>
      <c r="DS49" s="1"/>
      <c r="DT49" s="1"/>
      <c r="DU49" s="1"/>
      <c r="DV49" s="1"/>
      <c r="DW49" s="1"/>
      <c r="EA49" s="1"/>
      <c r="EB49" s="1"/>
      <c r="ED49" s="1"/>
      <c r="EE49" s="1"/>
      <c r="EG49" s="1"/>
      <c r="EH49" s="1"/>
      <c r="EJ49" s="87" t="s">
        <v>133</v>
      </c>
      <c r="EK49" s="87">
        <f>SUM(EK50:EK60)</f>
        <v>1450</v>
      </c>
      <c r="EL49" s="15"/>
      <c r="EM49" s="1"/>
      <c r="EN49" s="1"/>
      <c r="EP49" s="38" t="s">
        <v>697</v>
      </c>
      <c r="EQ49" s="38">
        <v>53</v>
      </c>
      <c r="ER49" s="1"/>
      <c r="ES49" s="1"/>
      <c r="ET49" s="1"/>
      <c r="EV49" s="1"/>
      <c r="EW49" s="1"/>
      <c r="EY49" s="1"/>
      <c r="EZ49" s="1"/>
      <c r="FB49" s="1"/>
      <c r="FC49" s="1"/>
      <c r="FT49" s="85" t="s">
        <v>208</v>
      </c>
      <c r="FU49" s="85">
        <v>100</v>
      </c>
      <c r="FZ49" s="197" t="s">
        <v>856</v>
      </c>
      <c r="GA49" s="197">
        <v>226</v>
      </c>
      <c r="GC49" s="211" t="s">
        <v>857</v>
      </c>
      <c r="GD49" s="197">
        <f>-31-151+60-10-450-10-32-108-461-39-875-708-272</f>
        <v>-3087</v>
      </c>
      <c r="GE49" s="207"/>
      <c r="GF49" s="279" t="s">
        <v>1035</v>
      </c>
      <c r="GG49" s="279">
        <f>35+49+28</f>
        <v>112</v>
      </c>
      <c r="GI49" s="281"/>
    </row>
    <row r="50" spans="1:219" ht="15.75" customHeight="1" x14ac:dyDescent="0.3">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67"/>
      <c r="AM50" s="16"/>
      <c r="AN50" s="16"/>
      <c r="AO50" s="16"/>
      <c r="AP50" s="16"/>
      <c r="AQ50" s="16"/>
      <c r="AR50" s="16"/>
      <c r="AS50" s="16"/>
      <c r="AT50" s="16"/>
      <c r="AU50" s="16"/>
      <c r="AV50" s="16"/>
      <c r="AW50" s="16"/>
      <c r="AX50" s="16"/>
      <c r="AY50" s="16"/>
      <c r="AZ50" s="16"/>
      <c r="BA50" s="16"/>
      <c r="BB50" s="16"/>
      <c r="BC50" s="16"/>
      <c r="BD50" s="16"/>
      <c r="BE50" s="16"/>
      <c r="BF50" s="16"/>
      <c r="BG50" s="16"/>
      <c r="BH50" s="16"/>
      <c r="BI50" s="76" t="s">
        <v>699</v>
      </c>
      <c r="BJ50" s="25">
        <v>20</v>
      </c>
      <c r="BK50" s="16"/>
      <c r="BL50" s="25" t="s">
        <v>700</v>
      </c>
      <c r="BM50" s="25">
        <v>34</v>
      </c>
      <c r="BN50" s="16"/>
      <c r="BO50" s="16"/>
      <c r="BP50" s="16"/>
      <c r="BQ50" s="16"/>
      <c r="BR50" s="25" t="s">
        <v>669</v>
      </c>
      <c r="BS50" s="25">
        <v>17</v>
      </c>
      <c r="BT50" s="16"/>
      <c r="BU50" s="25" t="s">
        <v>701</v>
      </c>
      <c r="BV50" s="25">
        <v>20</v>
      </c>
      <c r="BW50" s="16"/>
      <c r="BX50" s="16"/>
      <c r="BY50" s="16"/>
      <c r="BZ50" s="16"/>
      <c r="CA50" s="74" t="s">
        <v>702</v>
      </c>
      <c r="CB50" s="25">
        <v>152</v>
      </c>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
      <c r="DS50" s="1"/>
      <c r="DT50" s="83"/>
      <c r="DU50" s="83"/>
      <c r="DV50" s="83"/>
      <c r="EA50" s="1"/>
      <c r="EB50" s="1"/>
      <c r="ED50" s="1"/>
      <c r="EE50" s="1"/>
      <c r="EG50" s="1"/>
      <c r="EH50" s="1"/>
      <c r="EJ50" s="38" t="s">
        <v>306</v>
      </c>
      <c r="EK50" s="38">
        <v>100</v>
      </c>
      <c r="EL50" s="15"/>
      <c r="EM50" s="1"/>
      <c r="EN50" s="1"/>
      <c r="EP50" s="38"/>
      <c r="EQ50" s="38">
        <v>50</v>
      </c>
      <c r="ER50" s="1"/>
      <c r="ES50" s="1"/>
      <c r="ET50" s="1"/>
      <c r="EV50" s="1"/>
      <c r="EW50" s="1"/>
      <c r="EY50" s="1"/>
      <c r="EZ50" s="1"/>
      <c r="FB50" s="1"/>
      <c r="FC50" s="1"/>
      <c r="FT50" s="85" t="s">
        <v>684</v>
      </c>
      <c r="FU50" s="85">
        <v>58</v>
      </c>
      <c r="FZ50" s="197" t="s">
        <v>857</v>
      </c>
      <c r="GA50" s="197">
        <f>-171-65-293-66-2824-200-251-22-19-82-250-47</f>
        <v>-4290</v>
      </c>
      <c r="GC50" s="213" t="s">
        <v>892</v>
      </c>
      <c r="GD50" s="197">
        <v>11</v>
      </c>
      <c r="GF50" s="279" t="s">
        <v>1034</v>
      </c>
      <c r="GG50" s="279">
        <v>175</v>
      </c>
    </row>
    <row r="51" spans="1:219" ht="15.75" customHeight="1" x14ac:dyDescent="0.3">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76" t="s">
        <v>703</v>
      </c>
      <c r="BJ51" s="25">
        <v>10</v>
      </c>
      <c r="BK51" s="16"/>
      <c r="BL51" s="16" t="s">
        <v>13</v>
      </c>
      <c r="BM51" s="16">
        <f>SUM(BM27:BM50)</f>
        <v>984</v>
      </c>
      <c r="BN51" s="16"/>
      <c r="BO51" s="16" t="s">
        <v>13</v>
      </c>
      <c r="BP51" s="16">
        <f>SUM(BP27:BP50)</f>
        <v>1348</v>
      </c>
      <c r="BQ51" s="16"/>
      <c r="BR51" s="25" t="s">
        <v>704</v>
      </c>
      <c r="BS51" s="25">
        <f>13+11+8+30</f>
        <v>62</v>
      </c>
      <c r="BT51" s="16"/>
      <c r="BU51" s="25" t="s">
        <v>705</v>
      </c>
      <c r="BV51" s="25">
        <f>60-20-16</f>
        <v>24</v>
      </c>
      <c r="BW51" s="16"/>
      <c r="BX51" s="16"/>
      <c r="BY51" s="16"/>
      <c r="BZ51" s="16"/>
      <c r="CA51" s="74" t="s">
        <v>706</v>
      </c>
      <c r="CB51" s="25">
        <v>24</v>
      </c>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S51" s="94" t="s">
        <v>707</v>
      </c>
      <c r="DT51" s="94" t="s">
        <v>306</v>
      </c>
      <c r="DU51" s="94" t="s">
        <v>708</v>
      </c>
      <c r="DV51" s="83"/>
      <c r="EA51" s="1"/>
      <c r="EB51" s="1"/>
      <c r="ED51" s="1"/>
      <c r="EE51" s="1"/>
      <c r="EG51" s="1"/>
      <c r="EH51" s="1"/>
      <c r="EJ51" s="38" t="s">
        <v>391</v>
      </c>
      <c r="EK51" s="38">
        <v>120</v>
      </c>
      <c r="EL51" s="15"/>
      <c r="EM51" s="1"/>
      <c r="EN51" s="1"/>
      <c r="EP51" s="1"/>
      <c r="EQ51" s="1"/>
      <c r="ER51" s="1"/>
      <c r="ES51" s="1"/>
      <c r="ET51" s="1"/>
      <c r="EV51" s="1"/>
      <c r="EW51" s="1"/>
      <c r="EY51" s="1"/>
      <c r="EZ51" s="1"/>
      <c r="FB51" s="1"/>
      <c r="FC51" s="1"/>
      <c r="FT51" s="85" t="s">
        <v>304</v>
      </c>
      <c r="FU51" s="85">
        <v>70</v>
      </c>
      <c r="FZ51" s="197" t="s">
        <v>859</v>
      </c>
      <c r="GA51" s="197">
        <v>32</v>
      </c>
      <c r="GB51" s="200"/>
      <c r="GC51" s="213" t="s">
        <v>894</v>
      </c>
      <c r="GD51" s="197">
        <v>31</v>
      </c>
      <c r="GF51" s="279" t="s">
        <v>440</v>
      </c>
      <c r="GG51" s="279">
        <v>11</v>
      </c>
    </row>
    <row r="52" spans="1:219" ht="15.75" customHeight="1" x14ac:dyDescent="0.3">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23"/>
      <c r="AV52" s="23"/>
      <c r="AW52" s="92"/>
      <c r="AX52" s="16"/>
      <c r="AY52" s="16"/>
      <c r="AZ52" s="23"/>
      <c r="BA52" s="95"/>
      <c r="BB52" s="16"/>
      <c r="BC52" s="16"/>
      <c r="BD52" s="16"/>
      <c r="BE52" s="16"/>
      <c r="BF52" s="16"/>
      <c r="BG52" s="16"/>
      <c r="BH52" s="16"/>
      <c r="BI52" s="76" t="s">
        <v>709</v>
      </c>
      <c r="BJ52" s="25">
        <v>36</v>
      </c>
      <c r="BK52" s="16"/>
      <c r="BL52" s="16"/>
      <c r="BM52" s="16"/>
      <c r="BN52" s="16"/>
      <c r="BO52" s="16"/>
      <c r="BP52" s="16"/>
      <c r="BQ52" s="16"/>
      <c r="BR52" s="25" t="s">
        <v>710</v>
      </c>
      <c r="BS52" s="25">
        <v>47</v>
      </c>
      <c r="BT52" s="16"/>
      <c r="BU52" s="25" t="s">
        <v>458</v>
      </c>
      <c r="BV52" s="25">
        <v>27</v>
      </c>
      <c r="BW52" s="16"/>
      <c r="BX52" s="16"/>
      <c r="BY52" s="16"/>
      <c r="BZ52" s="16"/>
      <c r="CA52" s="16" t="s">
        <v>13</v>
      </c>
      <c r="CB52" s="24">
        <f>SUM(CB28:CB51)</f>
        <v>890</v>
      </c>
      <c r="CC52" s="16"/>
      <c r="CD52" s="16"/>
      <c r="CE52" s="16"/>
      <c r="CF52" s="16"/>
      <c r="CG52" s="16"/>
      <c r="CH52" s="16"/>
      <c r="CI52" s="16"/>
      <c r="CJ52" s="16"/>
      <c r="CK52" s="16"/>
      <c r="CL52" s="16"/>
      <c r="CM52" s="16"/>
      <c r="CN52" s="91">
        <v>3420459</v>
      </c>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S52" s="96" t="s">
        <v>711</v>
      </c>
      <c r="DT52" s="97">
        <f>DT47+DT48</f>
        <v>0</v>
      </c>
      <c r="DU52" s="97">
        <f>DU47+DU48</f>
        <v>0</v>
      </c>
      <c r="DV52" s="83"/>
      <c r="EA52" s="1"/>
      <c r="EB52" s="1"/>
      <c r="ED52" s="1"/>
      <c r="EE52" s="1"/>
      <c r="EG52" s="1"/>
      <c r="EH52" s="1"/>
      <c r="EJ52" s="38" t="s">
        <v>122</v>
      </c>
      <c r="EK52" s="38">
        <v>150</v>
      </c>
      <c r="EL52" s="15"/>
      <c r="EM52" s="1"/>
      <c r="EN52" s="98"/>
      <c r="EO52" s="99"/>
      <c r="EP52" s="1"/>
      <c r="EQ52" s="1"/>
      <c r="ER52" s="1"/>
      <c r="ES52" s="1"/>
      <c r="ET52" s="1"/>
      <c r="EV52" s="1"/>
      <c r="EW52" s="1"/>
      <c r="EY52" s="1"/>
      <c r="EZ52" s="1"/>
      <c r="FB52" s="1"/>
      <c r="FC52" s="1"/>
      <c r="FT52" s="85" t="s">
        <v>698</v>
      </c>
      <c r="FU52" s="85">
        <v>80</v>
      </c>
      <c r="FZ52" s="197" t="s">
        <v>661</v>
      </c>
      <c r="GA52" s="197">
        <v>35</v>
      </c>
      <c r="GB52" s="200"/>
      <c r="GC52" s="213" t="s">
        <v>892</v>
      </c>
      <c r="GD52" s="197">
        <v>26</v>
      </c>
      <c r="GF52" s="279" t="s">
        <v>655</v>
      </c>
      <c r="GG52" s="279">
        <v>35</v>
      </c>
    </row>
    <row r="53" spans="1:219" ht="15.75" customHeight="1" x14ac:dyDescent="0.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23"/>
      <c r="AW53" s="92"/>
      <c r="AX53" s="16"/>
      <c r="AY53" s="16"/>
      <c r="AZ53" s="91"/>
      <c r="BA53" s="92"/>
      <c r="BB53" s="16"/>
      <c r="BC53" s="16"/>
      <c r="BD53" s="16"/>
      <c r="BE53" s="16"/>
      <c r="BF53" s="16"/>
      <c r="BG53" s="16"/>
      <c r="BH53" s="16"/>
      <c r="BI53" s="76" t="s">
        <v>712</v>
      </c>
      <c r="BJ53" s="25">
        <v>39</v>
      </c>
      <c r="BK53" s="16"/>
      <c r="BL53" s="16"/>
      <c r="BM53" s="16"/>
      <c r="BN53" s="16"/>
      <c r="BO53" s="16"/>
      <c r="BP53" s="16"/>
      <c r="BQ53" s="16"/>
      <c r="BR53" s="25" t="s">
        <v>536</v>
      </c>
      <c r="BS53" s="25">
        <v>60</v>
      </c>
      <c r="BT53" s="16"/>
      <c r="BU53" s="25" t="s">
        <v>394</v>
      </c>
      <c r="BV53" s="25">
        <v>-54</v>
      </c>
      <c r="BW53" s="16"/>
      <c r="BX53" s="16"/>
      <c r="BY53" s="16"/>
      <c r="BZ53" s="16"/>
      <c r="CA53" s="16"/>
      <c r="CB53" s="16"/>
      <c r="CC53" s="16"/>
      <c r="CD53" s="16"/>
      <c r="CE53" s="16"/>
      <c r="CF53" s="16"/>
      <c r="CG53" s="16"/>
      <c r="CH53" s="16"/>
      <c r="CI53" s="16"/>
      <c r="CJ53" s="16"/>
      <c r="CK53" s="16"/>
      <c r="CL53" s="16"/>
      <c r="CM53" s="16"/>
      <c r="CN53" s="91">
        <v>10000</v>
      </c>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S53" s="96" t="s">
        <v>713</v>
      </c>
      <c r="DT53" s="97">
        <v>20000</v>
      </c>
      <c r="DU53" s="97">
        <v>103000</v>
      </c>
      <c r="DV53" s="83"/>
      <c r="EA53" s="1"/>
      <c r="EB53" s="1"/>
      <c r="ED53" s="1"/>
      <c r="EE53" s="1"/>
      <c r="EG53" s="1"/>
      <c r="EH53" s="1"/>
      <c r="EJ53" s="38" t="s">
        <v>714</v>
      </c>
      <c r="EK53" s="38">
        <v>70</v>
      </c>
      <c r="EL53" s="15"/>
      <c r="EM53" s="1"/>
      <c r="EN53" s="86">
        <v>218611558</v>
      </c>
      <c r="EP53" s="1" t="s">
        <v>13</v>
      </c>
      <c r="EQ53" s="1">
        <f>SUM(EQ48:EQ52)</f>
        <v>213</v>
      </c>
      <c r="ER53" s="1"/>
      <c r="ES53" s="1"/>
      <c r="ET53" s="1"/>
      <c r="EV53" s="1"/>
      <c r="EW53" s="1"/>
      <c r="EY53" s="1"/>
      <c r="EZ53" s="1"/>
      <c r="FB53" s="1"/>
      <c r="FC53" s="1"/>
      <c r="FT53" s="85" t="s">
        <v>391</v>
      </c>
      <c r="FU53" s="85">
        <v>70</v>
      </c>
      <c r="FZ53" s="197" t="s">
        <v>874</v>
      </c>
      <c r="GA53" s="197">
        <f>2397+199</f>
        <v>2596</v>
      </c>
      <c r="GB53" s="200"/>
      <c r="GC53" s="213" t="s">
        <v>105</v>
      </c>
      <c r="GD53" s="197">
        <v>41</v>
      </c>
      <c r="GF53" s="280" t="s">
        <v>726</v>
      </c>
      <c r="GG53" s="280">
        <v>35</v>
      </c>
    </row>
    <row r="54" spans="1:219" ht="15.75" customHeight="1" x14ac:dyDescent="0.3">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92"/>
      <c r="AX54" s="16"/>
      <c r="AY54" s="16"/>
      <c r="AZ54" s="16"/>
      <c r="BA54" s="16"/>
      <c r="BB54" s="16"/>
      <c r="BC54" s="16"/>
      <c r="BD54" s="16"/>
      <c r="BE54" s="16"/>
      <c r="BF54" s="16"/>
      <c r="BG54" s="16"/>
      <c r="BH54" s="16"/>
      <c r="BI54" s="76" t="s">
        <v>332</v>
      </c>
      <c r="BJ54" s="25"/>
      <c r="BK54" s="16"/>
      <c r="BL54" s="16"/>
      <c r="BM54" s="16"/>
      <c r="BN54" s="16"/>
      <c r="BO54" s="16"/>
      <c r="BP54" s="16"/>
      <c r="BQ54" s="16"/>
      <c r="BR54" s="25" t="s">
        <v>715</v>
      </c>
      <c r="BS54" s="25">
        <v>18</v>
      </c>
      <c r="BT54" s="16"/>
      <c r="BU54" s="25" t="s">
        <v>13</v>
      </c>
      <c r="BV54" s="25">
        <f>SUM(BV46:BV53)</f>
        <v>223</v>
      </c>
      <c r="BW54" s="16"/>
      <c r="BX54" s="16"/>
      <c r="BY54" s="16"/>
      <c r="BZ54" s="16"/>
      <c r="CA54" s="16"/>
      <c r="CB54" s="16"/>
      <c r="CC54" s="16"/>
      <c r="CD54" s="16"/>
      <c r="CE54" s="16"/>
      <c r="CF54" s="16"/>
      <c r="CG54" s="16"/>
      <c r="CH54" s="16"/>
      <c r="CI54" s="16"/>
      <c r="CJ54" s="16"/>
      <c r="CK54" s="16"/>
      <c r="CL54" s="16"/>
      <c r="CM54" s="16"/>
      <c r="CN54" s="91">
        <v>82480</v>
      </c>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S54" s="94" t="s">
        <v>13</v>
      </c>
      <c r="DT54" s="97">
        <f>DT52+DT53</f>
        <v>20000</v>
      </c>
      <c r="DU54" s="97">
        <f>DU52+DU53</f>
        <v>103000</v>
      </c>
      <c r="EA54" s="1"/>
      <c r="EB54" s="1"/>
      <c r="ED54" s="1"/>
      <c r="EE54" s="1"/>
      <c r="EG54" s="1"/>
      <c r="EH54" s="1"/>
      <c r="EJ54" s="38" t="s">
        <v>716</v>
      </c>
      <c r="EK54" s="38">
        <v>70</v>
      </c>
      <c r="EL54" s="15"/>
      <c r="EM54" s="1"/>
      <c r="EN54" s="86">
        <v>2788825975</v>
      </c>
      <c r="EP54" s="1"/>
      <c r="EQ54" s="1"/>
      <c r="ER54" s="1"/>
      <c r="ES54" s="1"/>
      <c r="ET54" s="1"/>
      <c r="EV54" s="1"/>
      <c r="EW54" s="1"/>
      <c r="EY54" s="1"/>
      <c r="EZ54" s="1"/>
      <c r="FB54" s="1">
        <v>359000</v>
      </c>
      <c r="FC54" s="100">
        <v>6.0600000000000001E-2</v>
      </c>
      <c r="FT54" s="85" t="s">
        <v>13</v>
      </c>
      <c r="FU54" s="85">
        <f>SUM(FU44:FU53)</f>
        <v>658</v>
      </c>
      <c r="FZ54" s="197" t="s">
        <v>873</v>
      </c>
      <c r="GA54" s="197">
        <v>67</v>
      </c>
      <c r="GC54" s="197" t="s">
        <v>895</v>
      </c>
      <c r="GD54" s="197">
        <v>119</v>
      </c>
      <c r="GF54" s="284" t="s">
        <v>1041</v>
      </c>
      <c r="GG54" s="284">
        <v>232</v>
      </c>
    </row>
    <row r="55" spans="1:219" ht="15.75" customHeight="1"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23"/>
      <c r="AW55" s="95"/>
      <c r="AX55" s="16"/>
      <c r="AY55" s="91"/>
      <c r="AZ55" s="16"/>
      <c r="BA55" s="16"/>
      <c r="BB55" s="16"/>
      <c r="BC55" s="16"/>
      <c r="BD55" s="16"/>
      <c r="BE55" s="16"/>
      <c r="BF55" s="16"/>
      <c r="BG55" s="16"/>
      <c r="BH55" s="16"/>
      <c r="BI55" s="25" t="s">
        <v>717</v>
      </c>
      <c r="BJ55" s="25">
        <f>SUM(BJ27:BJ54)</f>
        <v>940</v>
      </c>
      <c r="BK55" s="16"/>
      <c r="BL55" s="16"/>
      <c r="BM55" s="16"/>
      <c r="BN55" s="16"/>
      <c r="BO55" s="16"/>
      <c r="BP55" s="16"/>
      <c r="BQ55" s="16"/>
      <c r="BR55" s="25" t="s">
        <v>718</v>
      </c>
      <c r="BS55" s="25">
        <v>25</v>
      </c>
      <c r="BT55" s="16"/>
      <c r="BU55" s="16"/>
      <c r="BV55" s="16"/>
      <c r="BW55" s="16"/>
      <c r="BX55" s="16"/>
      <c r="BY55" s="16"/>
      <c r="BZ55" s="16"/>
      <c r="CA55" s="16"/>
      <c r="CB55" s="16"/>
      <c r="CC55" s="16"/>
      <c r="CD55" s="16"/>
      <c r="CE55" s="16"/>
      <c r="CF55" s="16"/>
      <c r="CG55" s="16"/>
      <c r="CH55" s="16"/>
      <c r="CI55" s="16"/>
      <c r="CJ55" s="24"/>
      <c r="CK55" s="24"/>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EA55" s="1"/>
      <c r="EB55" s="1"/>
      <c r="ED55" s="1"/>
      <c r="EE55" s="1"/>
      <c r="EG55" s="1"/>
      <c r="EH55" s="1"/>
      <c r="EJ55" s="38" t="s">
        <v>719</v>
      </c>
      <c r="EK55" s="38">
        <v>76</v>
      </c>
      <c r="EL55" s="15"/>
      <c r="EM55" s="1"/>
      <c r="EN55" s="86">
        <v>500375102</v>
      </c>
      <c r="EP55" s="1"/>
      <c r="EQ55" s="1"/>
      <c r="ER55" s="1"/>
      <c r="ES55" s="1"/>
      <c r="ET55" s="1"/>
      <c r="EV55" s="1"/>
      <c r="EW55" s="1"/>
      <c r="EY55" s="1"/>
      <c r="EZ55" s="1"/>
      <c r="FB55" s="99">
        <f>(FB54*FC55)/FC54</f>
        <v>5924092.4092409238</v>
      </c>
      <c r="FC55" s="89">
        <v>1</v>
      </c>
      <c r="FZ55" s="197" t="s">
        <v>208</v>
      </c>
      <c r="GA55" s="197">
        <f>366</f>
        <v>366</v>
      </c>
      <c r="GC55" s="213" t="s">
        <v>896</v>
      </c>
      <c r="GD55" s="197">
        <v>57</v>
      </c>
      <c r="GF55" s="284" t="s">
        <v>876</v>
      </c>
      <c r="GG55" s="284">
        <v>108</v>
      </c>
    </row>
    <row r="56" spans="1:219" ht="15.75" customHeight="1" x14ac:dyDescent="0.3">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23"/>
      <c r="AW56" s="92"/>
      <c r="AX56" s="16"/>
      <c r="AY56" s="91"/>
      <c r="AZ56" s="16"/>
      <c r="BA56" s="16"/>
      <c r="BB56" s="16"/>
      <c r="BC56" s="16"/>
      <c r="BD56" s="16"/>
      <c r="BE56" s="16"/>
      <c r="BF56" s="16"/>
      <c r="BG56" s="16"/>
      <c r="BH56" s="16"/>
      <c r="BI56" s="16"/>
      <c r="BJ56" s="16"/>
      <c r="BK56" s="16"/>
      <c r="BL56" s="16"/>
      <c r="BM56" s="16"/>
      <c r="BN56" s="16"/>
      <c r="BO56" s="16"/>
      <c r="BP56" s="16"/>
      <c r="BQ56" s="16"/>
      <c r="BR56" s="25" t="s">
        <v>720</v>
      </c>
      <c r="BS56" s="25">
        <v>15</v>
      </c>
      <c r="BT56" s="16"/>
      <c r="BU56" s="16"/>
      <c r="BV56" s="16"/>
      <c r="BW56" s="16"/>
      <c r="BX56" s="16"/>
      <c r="BY56" s="16"/>
      <c r="BZ56" s="16"/>
      <c r="CA56" s="16"/>
      <c r="CB56" s="16"/>
      <c r="CC56" s="16"/>
      <c r="CD56" s="16"/>
      <c r="CE56" s="16"/>
      <c r="CF56" s="16"/>
      <c r="CG56" s="16"/>
      <c r="CH56" s="16"/>
      <c r="CI56" s="16"/>
      <c r="CJ56" s="91"/>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EA56" s="1"/>
      <c r="EB56" s="1"/>
      <c r="ED56" s="1"/>
      <c r="EE56" s="1"/>
      <c r="EG56" s="1"/>
      <c r="EH56" s="1"/>
      <c r="EJ56" s="38" t="s">
        <v>208</v>
      </c>
      <c r="EK56" s="38">
        <v>140</v>
      </c>
      <c r="EL56" s="15"/>
      <c r="EM56" s="1"/>
      <c r="EN56" s="86">
        <f>EN53+EN54+EN55</f>
        <v>3507812635</v>
      </c>
      <c r="EP56" s="1"/>
      <c r="EQ56" s="1"/>
      <c r="ER56" s="1"/>
      <c r="ES56" s="1"/>
      <c r="ET56" s="1"/>
      <c r="EV56" s="1"/>
      <c r="EW56" s="1"/>
      <c r="EY56" s="1"/>
      <c r="EZ56" s="1"/>
      <c r="FB56" s="99">
        <v>10511304</v>
      </c>
      <c r="FC56" s="1"/>
      <c r="FZ56" s="197" t="s">
        <v>100</v>
      </c>
      <c r="GA56" s="197">
        <v>22</v>
      </c>
      <c r="GC56" s="213" t="s">
        <v>897</v>
      </c>
      <c r="GD56" s="197">
        <v>30</v>
      </c>
      <c r="GF56" s="282" t="s">
        <v>100</v>
      </c>
      <c r="GG56" s="282">
        <v>22</v>
      </c>
    </row>
    <row r="57" spans="1:219" ht="15.75" customHeight="1" x14ac:dyDescent="0.3">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23"/>
      <c r="AW57" s="92"/>
      <c r="AX57" s="16"/>
      <c r="AY57" s="91"/>
      <c r="AZ57" s="16"/>
      <c r="BA57" s="16"/>
      <c r="BB57" s="16"/>
      <c r="BC57" s="16"/>
      <c r="BD57" s="16"/>
      <c r="BE57" s="16"/>
      <c r="BF57" s="16"/>
      <c r="BG57" s="16"/>
      <c r="BH57" s="16"/>
      <c r="BI57" s="16"/>
      <c r="BJ57" s="16"/>
      <c r="BK57" s="16"/>
      <c r="BL57" s="55"/>
      <c r="BM57" s="55"/>
      <c r="BN57" s="16"/>
      <c r="BO57" s="16"/>
      <c r="BP57" s="16"/>
      <c r="BQ57" s="16"/>
      <c r="BR57" s="25" t="s">
        <v>721</v>
      </c>
      <c r="BS57" s="25">
        <f>58-14-14-14</f>
        <v>16</v>
      </c>
      <c r="BT57" s="16"/>
      <c r="BU57" s="16"/>
      <c r="BV57" s="16"/>
      <c r="BW57" s="16"/>
      <c r="BX57" s="16"/>
      <c r="BY57" s="16"/>
      <c r="BZ57" s="16"/>
      <c r="CA57" s="16"/>
      <c r="CB57" s="16"/>
      <c r="CC57" s="16"/>
      <c r="CD57" s="16"/>
      <c r="CE57" s="16"/>
      <c r="CF57" s="16"/>
      <c r="CG57" s="16"/>
      <c r="CH57" s="16"/>
      <c r="CI57" s="16"/>
      <c r="CJ57" s="91"/>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EA57" s="1"/>
      <c r="EB57" s="1"/>
      <c r="ED57" s="1"/>
      <c r="EE57" s="1"/>
      <c r="EG57" s="1"/>
      <c r="EH57" s="1"/>
      <c r="EJ57" s="38" t="s">
        <v>187</v>
      </c>
      <c r="EK57" s="38">
        <v>300</v>
      </c>
      <c r="EL57" s="15"/>
      <c r="EM57" s="1"/>
      <c r="EN57" s="86">
        <f>EN45-EN56</f>
        <v>-3507812635</v>
      </c>
      <c r="EP57" s="1"/>
      <c r="EQ57" s="1"/>
      <c r="ER57" s="1"/>
      <c r="ES57" s="1"/>
      <c r="ET57" s="1"/>
      <c r="EV57" s="1"/>
      <c r="EW57" s="1"/>
      <c r="EY57" s="1"/>
      <c r="EZ57" s="1"/>
      <c r="FB57" s="1"/>
      <c r="FC57" s="1"/>
      <c r="FZ57" s="197" t="s">
        <v>655</v>
      </c>
      <c r="GA57" s="197">
        <v>38</v>
      </c>
      <c r="GC57" s="213" t="s">
        <v>898</v>
      </c>
      <c r="GD57" s="197">
        <v>112</v>
      </c>
      <c r="GF57" s="274"/>
      <c r="GG57" s="195"/>
    </row>
    <row r="58" spans="1:219" ht="15.75" customHeight="1" x14ac:dyDescent="0.3">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23"/>
      <c r="AW58" s="92"/>
      <c r="AX58" s="16"/>
      <c r="AY58" s="91"/>
      <c r="AZ58" s="16"/>
      <c r="BA58" s="16"/>
      <c r="BB58" s="16"/>
      <c r="BC58" s="16"/>
      <c r="BD58" s="16"/>
      <c r="BE58" s="16"/>
      <c r="BF58" s="16"/>
      <c r="BG58" s="16"/>
      <c r="BH58" s="16"/>
      <c r="BI58" s="55"/>
      <c r="BJ58" s="55"/>
      <c r="BK58" s="16"/>
      <c r="BL58" s="55"/>
      <c r="BM58" s="55"/>
      <c r="BN58" s="16"/>
      <c r="BO58" s="16"/>
      <c r="BP58" s="16"/>
      <c r="BQ58" s="16"/>
      <c r="BR58" s="25" t="s">
        <v>722</v>
      </c>
      <c r="BS58" s="25">
        <v>18</v>
      </c>
      <c r="BT58" s="16"/>
      <c r="BU58" s="16"/>
      <c r="BV58" s="16"/>
      <c r="BW58" s="16"/>
      <c r="BX58" s="16"/>
      <c r="BY58" s="16"/>
      <c r="BZ58" s="16"/>
      <c r="CA58" s="16"/>
      <c r="CB58" s="16"/>
      <c r="CC58" s="16"/>
      <c r="CD58" s="16"/>
      <c r="CE58" s="16"/>
      <c r="CF58" s="16"/>
      <c r="CG58" s="16"/>
      <c r="CH58" s="16"/>
      <c r="CI58" s="16"/>
      <c r="CJ58" s="91"/>
      <c r="CK58" s="91"/>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EA58" s="1"/>
      <c r="EB58" s="1"/>
      <c r="ED58" s="1"/>
      <c r="EE58" s="1"/>
      <c r="EG58" s="1"/>
      <c r="EH58" s="1"/>
      <c r="EL58" s="15"/>
      <c r="EM58" s="1"/>
      <c r="EN58" s="1"/>
      <c r="EP58" s="1"/>
      <c r="EQ58" s="1"/>
      <c r="ER58" s="1"/>
      <c r="ES58" s="1"/>
      <c r="ET58" s="1"/>
      <c r="EV58" s="1"/>
      <c r="EW58" s="1"/>
      <c r="EY58" s="1"/>
      <c r="EZ58" s="1"/>
      <c r="FB58" s="99">
        <f>FB56-FB55</f>
        <v>4587211.5907590762</v>
      </c>
      <c r="FC58" s="1"/>
      <c r="FZ58" s="197" t="s">
        <v>876</v>
      </c>
      <c r="GA58" s="197">
        <v>52</v>
      </c>
      <c r="GC58" s="213" t="s">
        <v>899</v>
      </c>
      <c r="GD58" s="197">
        <v>33</v>
      </c>
      <c r="GF58" s="274"/>
      <c r="GG58" s="195"/>
    </row>
    <row r="59" spans="1:219" ht="15.75" customHeight="1" x14ac:dyDescent="0.3">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23"/>
      <c r="AW59" s="92"/>
      <c r="AX59" s="16"/>
      <c r="AY59" s="91"/>
      <c r="AZ59" s="16"/>
      <c r="BA59" s="16"/>
      <c r="BB59" s="16"/>
      <c r="BC59" s="16"/>
      <c r="BD59" s="16"/>
      <c r="BE59" s="16"/>
      <c r="BF59" s="16"/>
      <c r="BG59" s="16"/>
      <c r="BH59" s="16"/>
      <c r="BI59" s="16"/>
      <c r="BJ59" s="16"/>
      <c r="BK59" s="16"/>
      <c r="BL59" s="55"/>
      <c r="BM59" s="55"/>
      <c r="BN59" s="16"/>
      <c r="BO59" s="16"/>
      <c r="BP59" s="16"/>
      <c r="BQ59" s="16"/>
      <c r="BR59" s="16" t="s">
        <v>13</v>
      </c>
      <c r="BS59" s="16">
        <f>SUM(BS43:BS58)</f>
        <v>735</v>
      </c>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EA59" s="1"/>
      <c r="EB59" s="1"/>
      <c r="ED59" s="1"/>
      <c r="EE59" s="1"/>
      <c r="EG59" s="1"/>
      <c r="EH59" s="1"/>
      <c r="EJ59" s="38" t="s">
        <v>723</v>
      </c>
      <c r="EK59" s="38">
        <f>180+209</f>
        <v>389</v>
      </c>
      <c r="EL59" s="15"/>
      <c r="EM59" s="1"/>
      <c r="EN59" s="1"/>
      <c r="EP59" s="1"/>
      <c r="EQ59" s="1"/>
      <c r="ER59" s="1"/>
      <c r="ES59" s="1"/>
      <c r="ET59" s="1"/>
      <c r="EV59" s="1"/>
      <c r="EW59" s="1"/>
      <c r="EY59" s="1"/>
      <c r="EZ59" s="1"/>
      <c r="FB59" s="1"/>
      <c r="FC59" s="1"/>
      <c r="FZ59" s="197" t="s">
        <v>877</v>
      </c>
      <c r="GA59" s="197">
        <v>200</v>
      </c>
      <c r="GC59" s="216" t="s">
        <v>337</v>
      </c>
      <c r="GD59" s="197">
        <v>10</v>
      </c>
      <c r="GF59" s="274"/>
      <c r="GG59" s="195"/>
    </row>
    <row r="60" spans="1:219" ht="15.75" customHeight="1" x14ac:dyDescent="0.3">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23"/>
      <c r="AW60" s="92"/>
      <c r="AX60" s="16"/>
      <c r="AY60" s="91"/>
      <c r="AZ60" s="16"/>
      <c r="BA60" s="16"/>
      <c r="BB60" s="16"/>
      <c r="BC60" s="16"/>
      <c r="BD60" s="16"/>
      <c r="BE60" s="16"/>
      <c r="BF60" s="16"/>
      <c r="BG60" s="16"/>
      <c r="BH60" s="16"/>
      <c r="BI60" s="16"/>
      <c r="BJ60" s="16"/>
      <c r="BK60" s="16"/>
      <c r="BL60" s="55"/>
      <c r="BM60" s="55"/>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EA60" s="1"/>
      <c r="EB60" s="1"/>
      <c r="ED60" s="1"/>
      <c r="EE60" s="1"/>
      <c r="EG60" s="1"/>
      <c r="EH60" s="1"/>
      <c r="EJ60" s="38" t="s">
        <v>608</v>
      </c>
      <c r="EK60" s="38">
        <v>35</v>
      </c>
      <c r="EL60" s="15"/>
      <c r="EM60" s="1"/>
      <c r="EN60" s="1"/>
      <c r="EP60" s="1"/>
      <c r="EQ60" s="1"/>
      <c r="ER60" s="1"/>
      <c r="ES60" s="1"/>
      <c r="ET60" s="1"/>
      <c r="EV60" s="1"/>
      <c r="EW60" s="1"/>
      <c r="EY60" s="1"/>
      <c r="EZ60" s="1"/>
      <c r="FB60" s="1"/>
      <c r="FC60" s="1"/>
      <c r="FZ60" s="197" t="s">
        <v>238</v>
      </c>
      <c r="GA60" s="197">
        <f>22+14</f>
        <v>36</v>
      </c>
      <c r="GB60" s="232"/>
      <c r="GC60" s="225" t="s">
        <v>901</v>
      </c>
      <c r="GD60" s="226">
        <f>22+10</f>
        <v>32</v>
      </c>
      <c r="GF60" s="275"/>
      <c r="GG60" s="195"/>
    </row>
    <row r="61" spans="1:219" ht="15.75" customHeight="1" x14ac:dyDescent="0.3">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23"/>
      <c r="AW61" s="92"/>
      <c r="AX61" s="16"/>
      <c r="AY61" s="91"/>
      <c r="AZ61" s="16"/>
      <c r="BA61" s="16"/>
      <c r="BB61" s="16"/>
      <c r="BC61" s="16"/>
      <c r="BD61" s="16"/>
      <c r="BE61" s="16"/>
      <c r="BF61" s="16"/>
      <c r="BG61" s="16"/>
      <c r="BH61" s="16"/>
      <c r="BI61" s="16"/>
      <c r="BJ61" s="16"/>
      <c r="BK61" s="16"/>
      <c r="BL61" s="55"/>
      <c r="BM61" s="55"/>
      <c r="BN61" s="16"/>
      <c r="BO61" s="16"/>
      <c r="BP61" s="16"/>
      <c r="BQ61" s="16"/>
      <c r="BR61" s="16"/>
      <c r="BS61" s="16"/>
      <c r="BT61" s="16"/>
      <c r="BU61" s="55"/>
      <c r="BV61" s="55"/>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EA61" s="1"/>
      <c r="EB61" s="1"/>
      <c r="ED61" s="1"/>
      <c r="EE61" s="1"/>
      <c r="EG61" s="1"/>
      <c r="EH61" s="1"/>
      <c r="EL61" s="15"/>
      <c r="EM61" s="1"/>
      <c r="EN61" s="1"/>
      <c r="EP61" s="1"/>
      <c r="EQ61" s="1"/>
      <c r="ER61" s="1"/>
      <c r="ES61" s="1"/>
      <c r="ET61" s="1"/>
      <c r="EV61" s="1"/>
      <c r="EW61" s="1"/>
      <c r="EY61" s="1"/>
      <c r="EZ61" s="1"/>
      <c r="FB61" s="1"/>
      <c r="FC61" s="1"/>
      <c r="FZ61" s="197" t="s">
        <v>881</v>
      </c>
      <c r="GA61" s="197">
        <v>19</v>
      </c>
      <c r="GB61" s="232"/>
      <c r="GC61" s="225" t="s">
        <v>901</v>
      </c>
      <c r="GD61" s="197">
        <v>60</v>
      </c>
      <c r="GF61" s="276"/>
      <c r="GG61" s="277"/>
      <c r="GI61" s="1" t="s">
        <v>13</v>
      </c>
      <c r="GJ61" s="1">
        <f>SUM(GJ43:GJ60)</f>
        <v>0</v>
      </c>
      <c r="GL61" s="1" t="s">
        <v>13</v>
      </c>
      <c r="GM61" s="1">
        <f>SUM(GM43:GM60)</f>
        <v>0</v>
      </c>
      <c r="GO61" s="1" t="s">
        <v>13</v>
      </c>
      <c r="GP61" s="1">
        <f>SUM(GP43:GP60)</f>
        <v>0</v>
      </c>
      <c r="GR61" s="1" t="s">
        <v>13</v>
      </c>
      <c r="GS61" s="1">
        <f>SUM(GS43:GS60)</f>
        <v>0</v>
      </c>
      <c r="GU61" s="1" t="s">
        <v>13</v>
      </c>
      <c r="GV61" s="1">
        <f>SUM(GV43:GV60)</f>
        <v>0</v>
      </c>
      <c r="GX61" s="1" t="s">
        <v>13</v>
      </c>
      <c r="GY61" s="1">
        <f>SUM(GY43:GY60)</f>
        <v>0</v>
      </c>
      <c r="HA61" s="1" t="s">
        <v>13</v>
      </c>
      <c r="HB61" s="1">
        <f>SUM(HB43:HB60)</f>
        <v>0</v>
      </c>
      <c r="HD61" s="1" t="s">
        <v>13</v>
      </c>
      <c r="HE61" s="1">
        <f>SUM(HE43:HE60)</f>
        <v>0</v>
      </c>
      <c r="HG61" s="1"/>
      <c r="HH61" s="1"/>
      <c r="HJ61" s="1"/>
      <c r="HK61" s="1"/>
    </row>
    <row r="62" spans="1:219" ht="15.75" customHeight="1" x14ac:dyDescent="0.3">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23"/>
      <c r="AW62" s="92"/>
      <c r="AX62" s="16"/>
      <c r="AY62" s="91"/>
      <c r="AZ62" s="16"/>
      <c r="BA62" s="16"/>
      <c r="BB62" s="16"/>
      <c r="BC62" s="16"/>
      <c r="BD62" s="16"/>
      <c r="BE62" s="16"/>
      <c r="BF62" s="16"/>
      <c r="BG62" s="16"/>
      <c r="BH62" s="16"/>
      <c r="BI62" s="16"/>
      <c r="BJ62" s="16"/>
      <c r="BK62" s="16"/>
      <c r="BL62" s="16"/>
      <c r="BM62" s="16"/>
      <c r="BN62" s="16"/>
      <c r="BO62" s="52">
        <v>840</v>
      </c>
      <c r="BP62" s="52" t="s">
        <v>724</v>
      </c>
      <c r="BQ62" s="16"/>
      <c r="BR62" s="52">
        <v>600</v>
      </c>
      <c r="BS62" s="52" t="s">
        <v>724</v>
      </c>
      <c r="BT62" s="16"/>
      <c r="BU62" s="55"/>
      <c r="BV62" s="55"/>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EA62" s="1"/>
      <c r="EB62" s="1"/>
      <c r="ED62" s="1"/>
      <c r="EE62" s="1"/>
      <c r="EG62" s="1"/>
      <c r="EH62" s="1"/>
      <c r="EL62" s="15"/>
      <c r="EM62" s="1"/>
      <c r="EN62" s="1"/>
      <c r="EP62" s="1"/>
      <c r="EQ62" s="1"/>
      <c r="ER62" s="1"/>
      <c r="ES62" s="1"/>
      <c r="ET62" s="1"/>
      <c r="EV62" s="1"/>
      <c r="EW62" s="1"/>
      <c r="EY62" s="1"/>
      <c r="EZ62" s="1"/>
      <c r="FB62" s="1"/>
      <c r="FC62" s="1"/>
      <c r="FD62" s="89"/>
      <c r="FZ62" s="197" t="s">
        <v>885</v>
      </c>
      <c r="GA62" s="197">
        <v>236</v>
      </c>
      <c r="GB62" s="232"/>
      <c r="GC62" s="229" t="s">
        <v>902</v>
      </c>
      <c r="GD62" s="197">
        <v>38</v>
      </c>
      <c r="GF62" s="276"/>
      <c r="GG62" s="195"/>
    </row>
    <row r="63" spans="1:219" ht="15.75" customHeight="1" x14ac:dyDescent="0.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23"/>
      <c r="AW63" s="92"/>
      <c r="AX63" s="16"/>
      <c r="AY63" s="91"/>
      <c r="AZ63" s="16"/>
      <c r="BA63" s="16"/>
      <c r="BB63" s="16"/>
      <c r="BC63" s="16"/>
      <c r="BD63" s="16"/>
      <c r="BE63" s="16"/>
      <c r="BF63" s="16"/>
      <c r="BG63" s="16"/>
      <c r="BH63" s="16"/>
      <c r="BI63" s="16"/>
      <c r="BJ63" s="16"/>
      <c r="BK63" s="16"/>
      <c r="BL63" s="16"/>
      <c r="BM63" s="16"/>
      <c r="BN63" s="16"/>
      <c r="BO63" s="101">
        <v>31</v>
      </c>
      <c r="BP63" s="101" t="s">
        <v>725</v>
      </c>
      <c r="BQ63" s="16"/>
      <c r="BR63" s="101">
        <v>20</v>
      </c>
      <c r="BS63" s="101" t="s">
        <v>726</v>
      </c>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EA63" s="1"/>
      <c r="EB63" s="1"/>
      <c r="ED63" s="1"/>
      <c r="EE63" s="1"/>
      <c r="EG63" s="1"/>
      <c r="EH63" s="1"/>
      <c r="EL63" s="15"/>
      <c r="EM63" s="1"/>
      <c r="EN63" s="1"/>
      <c r="EP63" s="1"/>
      <c r="EQ63" s="1"/>
      <c r="ER63" s="1"/>
      <c r="ES63" s="1"/>
      <c r="ET63" s="1"/>
      <c r="EV63" s="1"/>
      <c r="EW63" s="1"/>
      <c r="EY63" s="1"/>
      <c r="EZ63" s="1"/>
      <c r="FB63" s="1"/>
      <c r="FC63" s="1"/>
      <c r="FE63" s="89"/>
      <c r="FZ63" s="197" t="s">
        <v>886</v>
      </c>
      <c r="GA63" s="197">
        <v>82</v>
      </c>
      <c r="GB63" s="232"/>
      <c r="GC63" s="229" t="s">
        <v>337</v>
      </c>
      <c r="GD63" s="197">
        <v>10</v>
      </c>
      <c r="GF63" s="217"/>
      <c r="GG63" s="195"/>
    </row>
    <row r="64" spans="1:219" ht="15.75" customHeight="1" x14ac:dyDescent="0.3">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23"/>
      <c r="AW64" s="92"/>
      <c r="AX64" s="16"/>
      <c r="AY64" s="91"/>
      <c r="AZ64" s="16"/>
      <c r="BA64" s="16"/>
      <c r="BB64" s="16"/>
      <c r="BC64" s="16"/>
      <c r="BD64" s="16"/>
      <c r="BE64" s="16"/>
      <c r="BF64" s="16"/>
      <c r="BG64" s="16"/>
      <c r="BH64" s="16"/>
      <c r="BI64" s="16"/>
      <c r="BJ64" s="16"/>
      <c r="BK64" s="16"/>
      <c r="BL64" s="16"/>
      <c r="BM64" s="16"/>
      <c r="BN64" s="16"/>
      <c r="BO64" s="101">
        <v>31</v>
      </c>
      <c r="BP64" s="101" t="s">
        <v>727</v>
      </c>
      <c r="BQ64" s="16"/>
      <c r="BR64" s="101">
        <v>58</v>
      </c>
      <c r="BS64" s="101" t="s">
        <v>728</v>
      </c>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EA64" s="1"/>
      <c r="EB64" s="1"/>
      <c r="ED64" s="1"/>
      <c r="EE64" s="1"/>
      <c r="EG64" s="1"/>
      <c r="EH64" s="1"/>
      <c r="EL64" s="15"/>
      <c r="EM64" s="1"/>
      <c r="EN64" s="1"/>
      <c r="EP64" s="1"/>
      <c r="EQ64" s="1"/>
      <c r="ER64" s="1"/>
      <c r="ES64" s="1"/>
      <c r="ET64" s="1"/>
      <c r="EV64" s="1"/>
      <c r="EW64" s="1"/>
      <c r="EY64" s="1"/>
      <c r="EZ64" s="1"/>
      <c r="FB64" s="1"/>
      <c r="FC64" s="1"/>
      <c r="FY64" s="206"/>
      <c r="FZ64" s="197" t="s">
        <v>887</v>
      </c>
      <c r="GA64" s="197">
        <v>36</v>
      </c>
      <c r="GB64" s="232"/>
      <c r="GC64" s="230" t="s">
        <v>920</v>
      </c>
      <c r="GD64" s="197">
        <v>65</v>
      </c>
      <c r="GF64" s="217"/>
      <c r="GG64" s="195"/>
    </row>
    <row r="65" spans="1:189" ht="15.75" customHeight="1" x14ac:dyDescent="0.3">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23"/>
      <c r="AW65" s="92"/>
      <c r="AX65" s="16"/>
      <c r="AY65" s="91"/>
      <c r="AZ65" s="16"/>
      <c r="BA65" s="16"/>
      <c r="BB65" s="16"/>
      <c r="BC65" s="16"/>
      <c r="BD65" s="16"/>
      <c r="BE65" s="16"/>
      <c r="BF65" s="16"/>
      <c r="BG65" s="16"/>
      <c r="BH65" s="16"/>
      <c r="BI65" s="16"/>
      <c r="BJ65" s="16"/>
      <c r="BK65" s="16"/>
      <c r="BL65" s="16"/>
      <c r="BM65" s="16"/>
      <c r="BN65" s="16"/>
      <c r="BO65" s="101">
        <v>18</v>
      </c>
      <c r="BP65" s="101" t="s">
        <v>729</v>
      </c>
      <c r="BQ65" s="16"/>
      <c r="BR65" s="101">
        <v>46</v>
      </c>
      <c r="BS65" s="101" t="s">
        <v>730</v>
      </c>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EA65" s="1"/>
      <c r="EB65" s="1"/>
      <c r="ED65" s="1"/>
      <c r="EE65" s="1"/>
      <c r="EG65" s="1"/>
      <c r="EH65" s="1"/>
      <c r="EL65" s="15"/>
      <c r="EM65" s="1"/>
      <c r="EN65" s="1"/>
      <c r="EP65" s="1"/>
      <c r="EQ65" s="1"/>
      <c r="ER65" s="1"/>
      <c r="ES65" s="1"/>
      <c r="ET65" s="1"/>
      <c r="EV65" s="1"/>
      <c r="EW65" s="1"/>
      <c r="EY65" s="1"/>
      <c r="EZ65" s="1"/>
      <c r="FB65" s="1"/>
      <c r="FC65" s="1"/>
      <c r="FY65" s="206"/>
      <c r="FZ65" s="197" t="s">
        <v>440</v>
      </c>
      <c r="GA65" s="197">
        <v>11</v>
      </c>
      <c r="GB65" s="232"/>
      <c r="GC65" s="229" t="s">
        <v>921</v>
      </c>
      <c r="GD65" s="197">
        <v>11</v>
      </c>
      <c r="GE65" s="232"/>
      <c r="GF65" s="278"/>
      <c r="GG65" s="195"/>
    </row>
    <row r="66" spans="1:189" ht="15.75" customHeight="1" x14ac:dyDescent="0.3">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23"/>
      <c r="AW66" s="92"/>
      <c r="AX66" s="16"/>
      <c r="AY66" s="91"/>
      <c r="AZ66" s="16"/>
      <c r="BA66" s="16"/>
      <c r="BB66" s="16"/>
      <c r="BC66" s="16"/>
      <c r="BD66" s="16"/>
      <c r="BE66" s="16"/>
      <c r="BF66" s="16"/>
      <c r="BG66" s="16"/>
      <c r="BH66" s="16"/>
      <c r="BI66" s="16"/>
      <c r="BJ66" s="16"/>
      <c r="BK66" s="16"/>
      <c r="BL66" s="16"/>
      <c r="BM66" s="16"/>
      <c r="BN66" s="16"/>
      <c r="BO66" s="101">
        <v>4</v>
      </c>
      <c r="BP66" s="101" t="s">
        <v>731</v>
      </c>
      <c r="BQ66" s="16"/>
      <c r="BR66" s="101">
        <v>70</v>
      </c>
      <c r="BS66" s="101" t="s">
        <v>732</v>
      </c>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EA66" s="1"/>
      <c r="EB66" s="1"/>
      <c r="ED66" s="1"/>
      <c r="EE66" s="1"/>
      <c r="EG66" s="1"/>
      <c r="EH66" s="1"/>
      <c r="EL66" s="15"/>
      <c r="EM66" s="1"/>
      <c r="EN66" s="1"/>
      <c r="EP66" s="1"/>
      <c r="EQ66" s="1"/>
      <c r="ER66" s="1"/>
      <c r="ES66" s="1"/>
      <c r="ET66" s="1"/>
      <c r="EV66" s="1"/>
      <c r="EW66" s="1"/>
      <c r="EY66" s="1"/>
      <c r="EZ66" s="1"/>
      <c r="FB66" s="1"/>
      <c r="FC66" s="1"/>
      <c r="FZ66" s="208"/>
      <c r="GA66" s="208"/>
      <c r="GB66" s="232"/>
      <c r="GC66" s="229" t="s">
        <v>922</v>
      </c>
      <c r="GD66" s="197">
        <v>53</v>
      </c>
      <c r="GE66" s="232"/>
      <c r="GF66" s="217"/>
      <c r="GG66" s="195"/>
    </row>
    <row r="67" spans="1:189" ht="15.75" customHeight="1" x14ac:dyDescent="0.3">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23"/>
      <c r="AW67" s="92"/>
      <c r="AX67" s="16"/>
      <c r="AY67" s="91"/>
      <c r="AZ67" s="16"/>
      <c r="BA67" s="16"/>
      <c r="BB67" s="16"/>
      <c r="BC67" s="16"/>
      <c r="BD67" s="16"/>
      <c r="BE67" s="16"/>
      <c r="BF67" s="16"/>
      <c r="BG67" s="16"/>
      <c r="BH67" s="16"/>
      <c r="BI67" s="16"/>
      <c r="BJ67" s="16"/>
      <c r="BK67" s="16"/>
      <c r="BL67" s="16"/>
      <c r="BM67" s="16"/>
      <c r="BN67" s="16"/>
      <c r="BO67" s="101">
        <v>19</v>
      </c>
      <c r="BP67" s="101" t="s">
        <v>733</v>
      </c>
      <c r="BQ67" s="16"/>
      <c r="BR67" s="101"/>
      <c r="BS67" s="101"/>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EA67" s="1"/>
      <c r="EB67" s="1"/>
      <c r="ED67" s="1"/>
      <c r="EE67" s="1"/>
      <c r="EG67" s="1"/>
      <c r="EH67" s="1"/>
      <c r="EL67" s="15"/>
      <c r="EM67" s="1"/>
      <c r="EN67" s="1"/>
      <c r="EP67" s="1"/>
      <c r="EQ67" s="1"/>
      <c r="ER67" s="1"/>
      <c r="ES67" s="1"/>
      <c r="ET67" s="1"/>
      <c r="EV67" s="1"/>
      <c r="EW67" s="1"/>
      <c r="EY67" s="1"/>
      <c r="EZ67" s="1"/>
      <c r="FB67" s="1"/>
      <c r="FC67" s="1"/>
      <c r="FZ67" s="208"/>
      <c r="GA67" s="208"/>
      <c r="GB67" s="232"/>
      <c r="GC67" s="229" t="s">
        <v>924</v>
      </c>
      <c r="GD67" s="197">
        <v>331</v>
      </c>
      <c r="GE67" s="232"/>
      <c r="GF67" s="217"/>
      <c r="GG67" s="195"/>
    </row>
    <row r="68" spans="1:189" ht="15.75" customHeight="1" x14ac:dyDescent="0.3">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01">
        <v>14</v>
      </c>
      <c r="BP68" s="101" t="s">
        <v>734</v>
      </c>
      <c r="BQ68" s="16"/>
      <c r="BR68" s="101"/>
      <c r="BS68" s="101"/>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EA68" s="1"/>
      <c r="EB68" s="1"/>
      <c r="ED68" s="1"/>
      <c r="EE68" s="1"/>
      <c r="EG68" s="1"/>
      <c r="EH68" s="1"/>
      <c r="EL68" s="15"/>
      <c r="EM68" s="1"/>
      <c r="EN68" s="1"/>
      <c r="EP68" s="1"/>
      <c r="EQ68" s="1"/>
      <c r="ER68" s="1"/>
      <c r="ES68" s="1"/>
      <c r="ET68" s="1"/>
      <c r="EV68" s="1"/>
      <c r="EW68" s="1"/>
      <c r="EY68" s="1"/>
      <c r="EZ68" s="1"/>
      <c r="FB68" s="1"/>
      <c r="FC68" s="1"/>
      <c r="FZ68" s="209"/>
      <c r="GA68" s="208"/>
      <c r="GB68" s="232"/>
      <c r="GC68" s="229" t="s">
        <v>407</v>
      </c>
      <c r="GD68" s="197">
        <v>21</v>
      </c>
      <c r="GE68" s="232"/>
      <c r="GF68" s="217"/>
      <c r="GG68" s="195"/>
    </row>
    <row r="69" spans="1:189" ht="15.75" customHeight="1" x14ac:dyDescent="0.3">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01">
        <v>45</v>
      </c>
      <c r="BP69" s="101" t="s">
        <v>735</v>
      </c>
      <c r="BQ69" s="16"/>
      <c r="BR69" s="101"/>
      <c r="BS69" s="101"/>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EA69" s="1"/>
      <c r="EB69" s="1"/>
      <c r="ED69" s="1"/>
      <c r="EE69" s="1"/>
      <c r="EG69" s="1"/>
      <c r="EH69" s="1"/>
      <c r="EL69" s="15"/>
      <c r="EM69" s="1"/>
      <c r="EN69" s="1"/>
      <c r="EP69" s="1"/>
      <c r="EQ69" s="1"/>
      <c r="ER69" s="1"/>
      <c r="ES69" s="1"/>
      <c r="ET69" s="1"/>
      <c r="EV69" s="1"/>
      <c r="EW69" s="1"/>
      <c r="EY69" s="1"/>
      <c r="EZ69" s="1"/>
      <c r="FB69" s="1"/>
      <c r="FC69" s="1"/>
      <c r="FZ69" s="1" t="s">
        <v>13</v>
      </c>
      <c r="GA69" s="1">
        <f>SUM(GA46:GA68)</f>
        <v>0</v>
      </c>
      <c r="GC69" s="229" t="s">
        <v>927</v>
      </c>
      <c r="GD69" s="197">
        <f>19+27</f>
        <v>46</v>
      </c>
      <c r="GE69" s="232"/>
      <c r="GF69" s="217"/>
      <c r="GG69" s="195"/>
    </row>
    <row r="70" spans="1:189" ht="15.75" customHeight="1" x14ac:dyDescent="0.3">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01">
        <v>19</v>
      </c>
      <c r="BP70" s="101" t="s">
        <v>736</v>
      </c>
      <c r="BQ70" s="16"/>
      <c r="BR70" s="101"/>
      <c r="BS70" s="101"/>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EA70" s="1"/>
      <c r="EB70" s="1"/>
      <c r="ED70" s="1"/>
      <c r="EE70" s="1"/>
      <c r="EG70" s="1"/>
      <c r="EH70" s="1"/>
      <c r="EL70" s="15"/>
      <c r="EM70" s="1"/>
      <c r="EN70" s="1"/>
      <c r="EP70" s="1"/>
      <c r="EQ70" s="1"/>
      <c r="ER70" s="1"/>
      <c r="ES70" s="1"/>
      <c r="ET70" s="1"/>
      <c r="EV70" s="1"/>
      <c r="EW70" s="1"/>
      <c r="EY70" s="1"/>
      <c r="EZ70" s="1"/>
      <c r="FB70" s="1"/>
      <c r="FC70" s="1"/>
      <c r="GC70" s="229" t="s">
        <v>925</v>
      </c>
      <c r="GD70" s="197">
        <v>750</v>
      </c>
      <c r="GF70" s="217"/>
      <c r="GG70" s="195"/>
    </row>
    <row r="71" spans="1:189" ht="15.75" customHeight="1" x14ac:dyDescent="0.3">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01">
        <v>31</v>
      </c>
      <c r="BP71" s="101" t="s">
        <v>737</v>
      </c>
      <c r="BQ71" s="16"/>
      <c r="BR71" s="101"/>
      <c r="BS71" s="101"/>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EA71" s="1"/>
      <c r="EB71" s="1"/>
      <c r="ED71" s="1"/>
      <c r="EE71" s="1"/>
      <c r="EG71" s="1"/>
      <c r="EH71" s="1"/>
      <c r="EL71" s="15"/>
      <c r="EM71" s="1"/>
      <c r="EN71" s="1"/>
      <c r="EP71" s="1"/>
      <c r="EQ71" s="1"/>
      <c r="ER71" s="1"/>
      <c r="ES71" s="1"/>
      <c r="ET71" s="1"/>
      <c r="EV71" s="1"/>
      <c r="EW71" s="1"/>
      <c r="EY71" s="1"/>
      <c r="EZ71" s="1"/>
      <c r="FB71" s="1"/>
      <c r="FC71" s="1"/>
      <c r="GC71" s="229" t="s">
        <v>112</v>
      </c>
      <c r="GD71" s="197">
        <v>48</v>
      </c>
      <c r="GF71" s="217"/>
      <c r="GG71" s="195"/>
    </row>
    <row r="72" spans="1:189" ht="15.75" customHeight="1" x14ac:dyDescent="0.3">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01">
        <v>86</v>
      </c>
      <c r="BP72" s="101" t="s">
        <v>738</v>
      </c>
      <c r="BQ72" s="16"/>
      <c r="BR72" s="101"/>
      <c r="BS72" s="101"/>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EA72" s="1"/>
      <c r="EB72" s="1"/>
      <c r="ED72" s="1"/>
      <c r="EE72" s="1"/>
      <c r="EG72" s="1"/>
      <c r="EH72" s="1"/>
      <c r="EL72" s="15"/>
      <c r="EM72" s="1"/>
      <c r="EN72" s="1"/>
      <c r="EP72" s="1"/>
      <c r="EQ72" s="1"/>
      <c r="ER72" s="1"/>
      <c r="ES72" s="1"/>
      <c r="ET72" s="1"/>
      <c r="EV72" s="1"/>
      <c r="EW72" s="1"/>
      <c r="EY72" s="1"/>
      <c r="EZ72" s="1"/>
      <c r="FB72" s="1"/>
      <c r="FC72" s="1"/>
      <c r="GC72" s="229" t="s">
        <v>167</v>
      </c>
      <c r="GD72" s="197">
        <f>77+681</f>
        <v>758</v>
      </c>
      <c r="GF72" s="217"/>
      <c r="GG72" s="195"/>
    </row>
    <row r="73" spans="1:189" ht="15.75" customHeight="1" x14ac:dyDescent="0.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01">
        <v>40</v>
      </c>
      <c r="BP73" s="101" t="s">
        <v>111</v>
      </c>
      <c r="BQ73" s="16"/>
      <c r="BR73" s="101"/>
      <c r="BS73" s="101"/>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EA73" s="1"/>
      <c r="EB73" s="1"/>
      <c r="ED73" s="1"/>
      <c r="EE73" s="1"/>
      <c r="EG73" s="1"/>
      <c r="EH73" s="1"/>
      <c r="EL73" s="15"/>
      <c r="EM73" s="1"/>
      <c r="EN73" s="1"/>
      <c r="EP73" s="1"/>
      <c r="EQ73" s="1"/>
      <c r="ER73" s="1"/>
      <c r="ES73" s="1"/>
      <c r="ET73" s="1"/>
      <c r="EV73" s="1"/>
      <c r="EW73" s="1"/>
      <c r="EY73" s="1"/>
      <c r="EZ73" s="1"/>
      <c r="FB73" s="1"/>
      <c r="FC73" s="1"/>
      <c r="GC73" s="229" t="s">
        <v>167</v>
      </c>
      <c r="GD73" s="197">
        <f>1004-77-681</f>
        <v>246</v>
      </c>
      <c r="GF73" s="217"/>
      <c r="GG73" s="195"/>
    </row>
    <row r="74" spans="1:189" ht="15.75" customHeight="1" x14ac:dyDescent="0.3">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50">
        <v>502</v>
      </c>
      <c r="BP74" s="50" t="s">
        <v>218</v>
      </c>
      <c r="BQ74" s="16"/>
      <c r="BR74" s="50">
        <v>406</v>
      </c>
      <c r="BS74" s="50" t="s">
        <v>218</v>
      </c>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EA74" s="1"/>
      <c r="EB74" s="1"/>
      <c r="ED74" s="1"/>
      <c r="EE74" s="1"/>
      <c r="EG74" s="1"/>
      <c r="EH74" s="1"/>
      <c r="EL74" s="15"/>
      <c r="EM74" s="1"/>
      <c r="EN74" s="1"/>
      <c r="EP74" s="1"/>
      <c r="EQ74" s="1"/>
      <c r="ER74" s="1"/>
      <c r="ES74" s="1"/>
      <c r="ET74" s="1"/>
      <c r="EV74" s="1"/>
      <c r="EW74" s="1"/>
      <c r="EY74" s="1"/>
      <c r="EZ74" s="1"/>
      <c r="FB74" s="1"/>
      <c r="FC74" s="1"/>
      <c r="GC74" s="229" t="s">
        <v>928</v>
      </c>
      <c r="GD74" s="197">
        <v>26</v>
      </c>
      <c r="GF74" s="217"/>
      <c r="GG74" s="195"/>
    </row>
    <row r="75" spans="1:189" ht="15.75" customHeight="1" x14ac:dyDescent="0.3">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v>908</v>
      </c>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EA75" s="1"/>
      <c r="EB75" s="1"/>
      <c r="ED75" s="1"/>
      <c r="EE75" s="1"/>
      <c r="EG75" s="1"/>
      <c r="EH75" s="1"/>
      <c r="EL75" s="15"/>
      <c r="EM75" s="1"/>
      <c r="EN75" s="1"/>
      <c r="EP75" s="1"/>
      <c r="EQ75" s="1"/>
      <c r="ER75" s="1"/>
      <c r="ES75" s="1"/>
      <c r="ET75" s="1"/>
      <c r="EV75" s="1"/>
      <c r="EW75" s="1"/>
      <c r="EY75" s="1"/>
      <c r="EZ75" s="1"/>
      <c r="FB75" s="1"/>
      <c r="FC75" s="1"/>
      <c r="GC75" s="1" t="s">
        <v>13</v>
      </c>
      <c r="GD75" s="1">
        <f>SUM(GD43:GD74)</f>
        <v>0</v>
      </c>
      <c r="GF75" s="217"/>
      <c r="GG75" s="195"/>
    </row>
    <row r="76" spans="1:189" ht="15.75" customHeight="1" x14ac:dyDescent="0.3">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EA76" s="1"/>
      <c r="EB76" s="1"/>
      <c r="ED76" s="1"/>
      <c r="EE76" s="1"/>
      <c r="EG76" s="1"/>
      <c r="EH76" s="1"/>
      <c r="EL76" s="15"/>
      <c r="EM76" s="1"/>
      <c r="EN76" s="1"/>
      <c r="EP76" s="1"/>
      <c r="EQ76" s="1"/>
      <c r="ER76" s="1"/>
      <c r="ES76" s="1"/>
      <c r="ET76" s="1"/>
      <c r="EV76" s="1"/>
      <c r="EW76" s="1"/>
      <c r="EY76" s="1"/>
      <c r="EZ76" s="1"/>
      <c r="FB76" s="1"/>
      <c r="FC76" s="1"/>
      <c r="GD76" s="235"/>
      <c r="GF76" s="1" t="s">
        <v>13</v>
      </c>
      <c r="GG76" s="1">
        <f>SUM(GG44:GG75)</f>
        <v>22</v>
      </c>
    </row>
    <row r="77" spans="1:189" ht="15.75" customHeight="1" x14ac:dyDescent="0.3">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EA77" s="1"/>
      <c r="EB77" s="1"/>
      <c r="ED77" s="1"/>
      <c r="EE77" s="1"/>
      <c r="EG77" s="1"/>
      <c r="EH77" s="1"/>
      <c r="EL77" s="15"/>
      <c r="EM77" s="1"/>
      <c r="EN77" s="1"/>
      <c r="EP77" s="1"/>
      <c r="EQ77" s="1"/>
      <c r="ER77" s="1"/>
      <c r="ES77" s="1"/>
      <c r="ET77" s="1"/>
      <c r="EV77" s="1"/>
      <c r="EW77" s="1"/>
      <c r="EY77" s="1"/>
      <c r="EZ77" s="1"/>
      <c r="FB77" s="1"/>
      <c r="FC77" s="1"/>
    </row>
    <row r="78" spans="1:189" ht="15.75" customHeight="1" x14ac:dyDescent="0.3">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EA78" s="1"/>
      <c r="EB78" s="1"/>
      <c r="ED78" s="1"/>
      <c r="EE78" s="1"/>
      <c r="EG78" s="1"/>
      <c r="EH78" s="1"/>
      <c r="EL78" s="15"/>
      <c r="EM78" s="1"/>
      <c r="EN78" s="1"/>
      <c r="EP78" s="1"/>
      <c r="EQ78" s="1"/>
      <c r="ER78" s="1"/>
      <c r="ES78" s="1"/>
      <c r="ET78" s="1"/>
      <c r="EV78" s="1"/>
      <c r="EW78" s="1"/>
      <c r="EY78" s="1"/>
      <c r="EZ78" s="1"/>
      <c r="FB78" s="1"/>
      <c r="FC78" s="1"/>
    </row>
    <row r="79" spans="1:189" ht="15.75" customHeight="1" x14ac:dyDescent="0.3">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EA79" s="1"/>
      <c r="EB79" s="1"/>
      <c r="ED79" s="1"/>
      <c r="EE79" s="1"/>
      <c r="EG79" s="1"/>
      <c r="EH79" s="1"/>
      <c r="EL79" s="15"/>
      <c r="EM79" s="1"/>
      <c r="EN79" s="1"/>
      <c r="EP79" s="1"/>
      <c r="EQ79" s="1"/>
      <c r="ER79" s="1"/>
      <c r="ES79" s="1"/>
      <c r="ET79" s="1"/>
      <c r="EV79" s="1"/>
      <c r="EW79" s="1"/>
      <c r="EY79" s="1"/>
      <c r="EZ79" s="1"/>
      <c r="FB79" s="1"/>
      <c r="FC79" s="1"/>
    </row>
    <row r="80" spans="1:189" ht="15.75" customHeight="1" x14ac:dyDescent="0.3">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EA80" s="1"/>
      <c r="EB80" s="1"/>
      <c r="ED80" s="1"/>
      <c r="EE80" s="1"/>
      <c r="EG80" s="1"/>
      <c r="EH80" s="1"/>
      <c r="EL80" s="15"/>
      <c r="EM80" s="1"/>
      <c r="EN80" s="1"/>
      <c r="EP80" s="1"/>
      <c r="EQ80" s="1"/>
      <c r="ER80" s="1"/>
      <c r="ES80" s="1"/>
      <c r="ET80" s="1"/>
      <c r="EV80" s="1"/>
      <c r="EW80" s="1"/>
      <c r="EY80" s="1"/>
      <c r="EZ80" s="1"/>
      <c r="FB80" s="1"/>
      <c r="FC80" s="1"/>
    </row>
    <row r="81" spans="1:159" ht="15.75" customHeight="1" x14ac:dyDescent="0.3">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EA81" s="1"/>
      <c r="EB81" s="1"/>
      <c r="ED81" s="1"/>
      <c r="EE81" s="1"/>
      <c r="EG81" s="1"/>
      <c r="EH81" s="1"/>
      <c r="EL81" s="15"/>
      <c r="EM81" s="1"/>
      <c r="EN81" s="1"/>
      <c r="EP81" s="1"/>
      <c r="EQ81" s="1"/>
      <c r="ER81" s="1"/>
      <c r="ES81" s="1"/>
      <c r="ET81" s="1"/>
      <c r="EV81" s="1"/>
      <c r="EW81" s="1"/>
      <c r="EY81" s="1"/>
      <c r="EZ81" s="1"/>
      <c r="FB81" s="1"/>
      <c r="FC81" s="1"/>
    </row>
    <row r="82" spans="1:159" ht="15.75" customHeight="1" x14ac:dyDescent="0.3">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EA82" s="1"/>
      <c r="EB82" s="1"/>
      <c r="ED82" s="1"/>
      <c r="EE82" s="1"/>
      <c r="EG82" s="1"/>
      <c r="EH82" s="1"/>
      <c r="EL82" s="15"/>
      <c r="EM82" s="1"/>
      <c r="EN82" s="1"/>
      <c r="EP82" s="1"/>
      <c r="EQ82" s="1"/>
      <c r="ER82" s="1"/>
      <c r="ES82" s="1"/>
      <c r="ET82" s="1"/>
      <c r="EV82" s="1"/>
      <c r="EW82" s="1"/>
      <c r="EY82" s="1"/>
      <c r="EZ82" s="1"/>
      <c r="FB82" s="1"/>
      <c r="FC82" s="1"/>
    </row>
    <row r="83" spans="1:159" ht="15.75" customHeight="1" x14ac:dyDescent="0.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EA83" s="1"/>
      <c r="EB83" s="1"/>
      <c r="ED83" s="1"/>
      <c r="EE83" s="1"/>
      <c r="EG83" s="1"/>
      <c r="EH83" s="1"/>
      <c r="EL83" s="15"/>
      <c r="EM83" s="1"/>
      <c r="EN83" s="1"/>
      <c r="EP83" s="1"/>
      <c r="EQ83" s="1"/>
      <c r="ER83" s="1"/>
      <c r="ES83" s="1"/>
      <c r="ET83" s="1"/>
      <c r="EV83" s="1"/>
      <c r="EW83" s="1"/>
      <c r="EY83" s="1"/>
      <c r="EZ83" s="1"/>
      <c r="FB83" s="1"/>
      <c r="FC83" s="1"/>
    </row>
    <row r="84" spans="1:159" ht="15.75" customHeight="1" x14ac:dyDescent="0.3">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EA84" s="1"/>
      <c r="EB84" s="1"/>
      <c r="ED84" s="1"/>
      <c r="EE84" s="1"/>
      <c r="EG84" s="1"/>
      <c r="EH84" s="1"/>
      <c r="EL84" s="15"/>
      <c r="EM84" s="1"/>
      <c r="EN84" s="1"/>
      <c r="EP84" s="1"/>
      <c r="EQ84" s="1"/>
      <c r="ER84" s="1"/>
      <c r="ES84" s="1"/>
      <c r="ET84" s="1"/>
      <c r="EV84" s="1"/>
      <c r="EW84" s="1"/>
      <c r="EY84" s="1"/>
      <c r="EZ84" s="1"/>
      <c r="FB84" s="1"/>
      <c r="FC84" s="1"/>
    </row>
    <row r="85" spans="1:159" ht="15.75" customHeight="1" x14ac:dyDescent="0.3">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EA85" s="1"/>
      <c r="EB85" s="1"/>
      <c r="ED85" s="1"/>
      <c r="EE85" s="1"/>
      <c r="EG85" s="1"/>
      <c r="EH85" s="1"/>
      <c r="EL85" s="15"/>
      <c r="EM85" s="1"/>
      <c r="EN85" s="1"/>
      <c r="EP85" s="1"/>
      <c r="EQ85" s="1"/>
      <c r="ER85" s="1"/>
      <c r="ES85" s="1"/>
      <c r="ET85" s="1"/>
      <c r="EV85" s="1"/>
      <c r="EW85" s="1"/>
      <c r="EY85" s="1"/>
      <c r="EZ85" s="1"/>
      <c r="FB85" s="1"/>
      <c r="FC85" s="1"/>
    </row>
    <row r="86" spans="1:159" ht="15.75" customHeight="1" x14ac:dyDescent="0.3">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EA86" s="1"/>
      <c r="EB86" s="1"/>
      <c r="ED86" s="1"/>
      <c r="EE86" s="1"/>
      <c r="EG86" s="1"/>
      <c r="EH86" s="1"/>
      <c r="EL86" s="15"/>
      <c r="EM86" s="1"/>
      <c r="EN86" s="1"/>
      <c r="EP86" s="1"/>
      <c r="EQ86" s="1"/>
      <c r="ER86" s="1"/>
      <c r="ES86" s="1"/>
      <c r="ET86" s="1"/>
      <c r="EV86" s="1"/>
      <c r="EW86" s="1"/>
      <c r="EY86" s="1"/>
      <c r="EZ86" s="1"/>
      <c r="FB86" s="1"/>
      <c r="FC86" s="1"/>
    </row>
    <row r="87" spans="1:159" ht="15.75" customHeight="1" x14ac:dyDescent="0.3">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EA87" s="1"/>
      <c r="EB87" s="1"/>
      <c r="ED87" s="1"/>
      <c r="EE87" s="1"/>
      <c r="EG87" s="1"/>
      <c r="EH87" s="1"/>
      <c r="EL87" s="15"/>
      <c r="EM87" s="1"/>
      <c r="EN87" s="1"/>
      <c r="EP87" s="1"/>
      <c r="EQ87" s="1"/>
      <c r="ER87" s="1"/>
      <c r="ES87" s="1"/>
      <c r="ET87" s="1"/>
      <c r="EV87" s="1"/>
      <c r="EW87" s="1"/>
      <c r="EY87" s="1"/>
      <c r="EZ87" s="1"/>
      <c r="FB87" s="1"/>
      <c r="FC87" s="1"/>
    </row>
    <row r="88" spans="1:159" ht="15.75" customHeight="1" x14ac:dyDescent="0.3">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EA88" s="1"/>
      <c r="EB88" s="1"/>
      <c r="ED88" s="1"/>
      <c r="EE88" s="1"/>
      <c r="EG88" s="1"/>
      <c r="EH88" s="1"/>
      <c r="EL88" s="15"/>
      <c r="EM88" s="1"/>
      <c r="EN88" s="1"/>
      <c r="EP88" s="1"/>
      <c r="EQ88" s="1"/>
      <c r="ER88" s="1"/>
      <c r="ES88" s="1"/>
      <c r="ET88" s="1"/>
      <c r="EV88" s="1"/>
      <c r="EW88" s="1"/>
      <c r="EY88" s="1"/>
      <c r="EZ88" s="1"/>
      <c r="FB88" s="1"/>
      <c r="FC88" s="1"/>
    </row>
    <row r="89" spans="1:159" ht="15.75" customHeight="1" x14ac:dyDescent="0.3">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EA89" s="1"/>
      <c r="EB89" s="1"/>
      <c r="ED89" s="1"/>
      <c r="EE89" s="1"/>
      <c r="EG89" s="1"/>
      <c r="EH89" s="1"/>
      <c r="EL89" s="15"/>
      <c r="EM89" s="1"/>
      <c r="EN89" s="1"/>
      <c r="EP89" s="1"/>
      <c r="EQ89" s="1"/>
      <c r="ER89" s="1"/>
      <c r="ES89" s="1"/>
      <c r="ET89" s="1"/>
      <c r="EV89" s="1"/>
      <c r="EW89" s="1"/>
      <c r="EY89" s="1"/>
      <c r="EZ89" s="1"/>
      <c r="FB89" s="1"/>
      <c r="FC89" s="1"/>
    </row>
    <row r="90" spans="1:159" ht="15.75" customHeight="1" x14ac:dyDescent="0.3">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EA90" s="1"/>
      <c r="EB90" s="1"/>
      <c r="ED90" s="1"/>
      <c r="EE90" s="1"/>
      <c r="EG90" s="1"/>
      <c r="EH90" s="1"/>
      <c r="EL90" s="15"/>
      <c r="EM90" s="1"/>
      <c r="EN90" s="1"/>
      <c r="EP90" s="1"/>
      <c r="EQ90" s="1"/>
      <c r="ER90" s="1"/>
      <c r="ES90" s="1"/>
      <c r="ET90" s="1"/>
      <c r="EV90" s="1"/>
      <c r="EW90" s="1"/>
      <c r="EY90" s="1"/>
      <c r="EZ90" s="1"/>
      <c r="FB90" s="1"/>
      <c r="FC90" s="1"/>
    </row>
    <row r="91" spans="1:159" ht="15.75" customHeight="1" x14ac:dyDescent="0.3">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EA91" s="1"/>
      <c r="EB91" s="1"/>
      <c r="ED91" s="1"/>
      <c r="EE91" s="1"/>
      <c r="EG91" s="1"/>
      <c r="EH91" s="1"/>
      <c r="EL91" s="15"/>
      <c r="EM91" s="1"/>
      <c r="EN91" s="1"/>
      <c r="EP91" s="1"/>
      <c r="EQ91" s="1"/>
      <c r="ER91" s="1"/>
      <c r="ES91" s="1"/>
      <c r="ET91" s="1"/>
      <c r="EV91" s="1"/>
      <c r="EW91" s="1"/>
      <c r="EY91" s="1"/>
      <c r="EZ91" s="1"/>
      <c r="FB91" s="1"/>
      <c r="FC91" s="1"/>
    </row>
    <row r="92" spans="1:159" ht="15.75" customHeight="1" x14ac:dyDescent="0.3">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EA92" s="1"/>
      <c r="EB92" s="1"/>
      <c r="ED92" s="1"/>
      <c r="EE92" s="1"/>
      <c r="EG92" s="1"/>
      <c r="EH92" s="1"/>
      <c r="EL92" s="15"/>
      <c r="EM92" s="1"/>
      <c r="EN92" s="1"/>
      <c r="EP92" s="1"/>
      <c r="EQ92" s="1"/>
      <c r="ER92" s="1"/>
      <c r="ES92" s="1"/>
      <c r="ET92" s="1"/>
      <c r="EV92" s="1"/>
      <c r="EW92" s="1"/>
      <c r="EY92" s="1"/>
      <c r="EZ92" s="1"/>
      <c r="FB92" s="1"/>
      <c r="FC92" s="1"/>
    </row>
    <row r="93" spans="1:159" ht="15.75" customHeight="1" x14ac:dyDescent="0.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EA93" s="1"/>
      <c r="EB93" s="1"/>
      <c r="ED93" s="1"/>
      <c r="EE93" s="1"/>
      <c r="EG93" s="1"/>
      <c r="EH93" s="1"/>
      <c r="EL93" s="15"/>
      <c r="EM93" s="1"/>
      <c r="EN93" s="1"/>
      <c r="EP93" s="1"/>
      <c r="EQ93" s="1"/>
      <c r="ER93" s="1"/>
      <c r="ES93" s="1"/>
      <c r="ET93" s="1"/>
      <c r="EV93" s="1"/>
      <c r="EW93" s="1"/>
      <c r="EY93" s="1"/>
      <c r="EZ93" s="1"/>
      <c r="FB93" s="1"/>
      <c r="FC93" s="1"/>
    </row>
    <row r="94" spans="1:159" ht="15.75" customHeight="1" x14ac:dyDescent="0.3">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EA94" s="1"/>
      <c r="EB94" s="1"/>
      <c r="ED94" s="1"/>
      <c r="EE94" s="1"/>
      <c r="EG94" s="1"/>
      <c r="EH94" s="1"/>
      <c r="EL94" s="15"/>
      <c r="EM94" s="1"/>
      <c r="EN94" s="1"/>
      <c r="EP94" s="1"/>
      <c r="EQ94" s="1"/>
      <c r="ER94" s="1"/>
      <c r="ES94" s="1"/>
      <c r="ET94" s="1"/>
      <c r="EV94" s="1"/>
      <c r="EW94" s="1"/>
      <c r="EY94" s="1"/>
      <c r="EZ94" s="1"/>
      <c r="FB94" s="1"/>
      <c r="FC94" s="1"/>
    </row>
    <row r="95" spans="1:159" ht="15.75" customHeight="1" x14ac:dyDescent="0.3">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EA95" s="1"/>
      <c r="EB95" s="1"/>
      <c r="ED95" s="1"/>
      <c r="EE95" s="1"/>
      <c r="EG95" s="1"/>
      <c r="EH95" s="1"/>
      <c r="EL95" s="15"/>
      <c r="EM95" s="1"/>
      <c r="EN95" s="1"/>
      <c r="EP95" s="1"/>
      <c r="EQ95" s="1"/>
      <c r="ER95" s="1"/>
      <c r="ES95" s="1"/>
      <c r="ET95" s="1"/>
      <c r="EV95" s="1"/>
      <c r="EW95" s="1"/>
      <c r="EY95" s="1"/>
      <c r="EZ95" s="1"/>
      <c r="FB95" s="1"/>
      <c r="FC95" s="1"/>
    </row>
    <row r="96" spans="1:159" ht="15.75" customHeight="1" x14ac:dyDescent="0.3">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EA96" s="1"/>
      <c r="EB96" s="1"/>
      <c r="ED96" s="1"/>
      <c r="EE96" s="1"/>
      <c r="EG96" s="1"/>
      <c r="EH96" s="1"/>
      <c r="EL96" s="15"/>
      <c r="EM96" s="1"/>
      <c r="EN96" s="1"/>
      <c r="EP96" s="1"/>
      <c r="EQ96" s="1"/>
      <c r="ER96" s="1"/>
      <c r="ES96" s="1"/>
      <c r="ET96" s="1"/>
      <c r="EV96" s="1"/>
      <c r="EW96" s="1"/>
      <c r="EY96" s="1"/>
      <c r="EZ96" s="1"/>
      <c r="FB96" s="1"/>
      <c r="FC96" s="1"/>
    </row>
    <row r="97" spans="1:159" ht="15.75" customHeight="1" x14ac:dyDescent="0.3">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EA97" s="1"/>
      <c r="EB97" s="1"/>
      <c r="ED97" s="1"/>
      <c r="EE97" s="1"/>
      <c r="EG97" s="1"/>
      <c r="EH97" s="1"/>
      <c r="EL97" s="15"/>
      <c r="EM97" s="1"/>
      <c r="EN97" s="1"/>
      <c r="EP97" s="1"/>
      <c r="EQ97" s="1"/>
      <c r="ER97" s="1"/>
      <c r="ES97" s="1"/>
      <c r="ET97" s="1"/>
      <c r="EV97" s="1"/>
      <c r="EW97" s="1"/>
      <c r="EY97" s="1"/>
      <c r="EZ97" s="1"/>
      <c r="FB97" s="1"/>
      <c r="FC97" s="1"/>
    </row>
    <row r="98" spans="1:159" ht="15.75" customHeight="1" x14ac:dyDescent="0.3">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EA98" s="1"/>
      <c r="EB98" s="1"/>
      <c r="ED98" s="1"/>
      <c r="EE98" s="1"/>
      <c r="EG98" s="1"/>
      <c r="EH98" s="1"/>
      <c r="EL98" s="15"/>
      <c r="EM98" s="1"/>
      <c r="EN98" s="1"/>
      <c r="EP98" s="1"/>
      <c r="EQ98" s="1"/>
      <c r="ER98" s="1"/>
      <c r="ES98" s="1"/>
      <c r="ET98" s="1"/>
      <c r="EV98" s="1"/>
      <c r="EW98" s="1"/>
      <c r="EY98" s="1"/>
      <c r="EZ98" s="1"/>
      <c r="FB98" s="1"/>
      <c r="FC98" s="1"/>
    </row>
    <row r="99" spans="1:159" ht="15.75" customHeight="1" x14ac:dyDescent="0.3">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EA99" s="1"/>
      <c r="EB99" s="1"/>
      <c r="ED99" s="1"/>
      <c r="EE99" s="1"/>
      <c r="EG99" s="1"/>
      <c r="EH99" s="1"/>
      <c r="EL99" s="15"/>
      <c r="EM99" s="1"/>
      <c r="EN99" s="1"/>
      <c r="EP99" s="1"/>
      <c r="EQ99" s="1"/>
      <c r="ER99" s="1"/>
      <c r="ES99" s="1"/>
      <c r="ET99" s="1"/>
      <c r="EV99" s="1"/>
      <c r="EW99" s="1"/>
      <c r="EY99" s="1"/>
      <c r="EZ99" s="1"/>
      <c r="FB99" s="1"/>
      <c r="FC99" s="1"/>
    </row>
    <row r="100" spans="1:159" ht="15.75" customHeight="1" x14ac:dyDescent="0.3">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EA100" s="1"/>
      <c r="EB100" s="1"/>
      <c r="ED100" s="1"/>
      <c r="EE100" s="1"/>
      <c r="EG100" s="1"/>
      <c r="EH100" s="1"/>
      <c r="EL100" s="15"/>
      <c r="EM100" s="1"/>
      <c r="EN100" s="1"/>
      <c r="EP100" s="1"/>
      <c r="EQ100" s="1"/>
      <c r="ER100" s="1"/>
      <c r="ES100" s="1"/>
      <c r="ET100" s="1"/>
      <c r="EV100" s="1"/>
      <c r="EW100" s="1"/>
      <c r="EY100" s="1"/>
      <c r="EZ100" s="1"/>
      <c r="FB100" s="1"/>
      <c r="FC100" s="1"/>
    </row>
    <row r="101" spans="1:159" ht="15.75" customHeight="1" x14ac:dyDescent="0.3">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EA101" s="1"/>
      <c r="EB101" s="1"/>
      <c r="ED101" s="1"/>
      <c r="EE101" s="1"/>
      <c r="EG101" s="1"/>
      <c r="EH101" s="1"/>
      <c r="EL101" s="15"/>
      <c r="EM101" s="1"/>
      <c r="EN101" s="1"/>
      <c r="EP101" s="1"/>
      <c r="EQ101" s="1"/>
      <c r="ER101" s="1"/>
      <c r="ES101" s="1"/>
      <c r="ET101" s="1"/>
      <c r="EV101" s="1"/>
      <c r="EW101" s="1"/>
      <c r="EY101" s="1"/>
      <c r="EZ101" s="1"/>
      <c r="FB101" s="1"/>
      <c r="FC101" s="1"/>
    </row>
    <row r="102" spans="1:159" ht="15.75" customHeight="1" x14ac:dyDescent="0.3">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EA102" s="1"/>
      <c r="EB102" s="1"/>
      <c r="ED102" s="1"/>
      <c r="EE102" s="1"/>
      <c r="EG102" s="1"/>
      <c r="EH102" s="1"/>
      <c r="EL102" s="15"/>
      <c r="EM102" s="1"/>
      <c r="EN102" s="1"/>
      <c r="EP102" s="1"/>
      <c r="EQ102" s="1"/>
      <c r="ER102" s="1"/>
      <c r="ES102" s="1"/>
      <c r="ET102" s="1"/>
      <c r="EV102" s="1"/>
      <c r="EW102" s="1"/>
      <c r="EY102" s="1"/>
      <c r="EZ102" s="1"/>
      <c r="FB102" s="1"/>
      <c r="FC102" s="1"/>
    </row>
    <row r="103" spans="1:159" ht="15.75" customHeight="1" x14ac:dyDescent="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EA103" s="1"/>
      <c r="EB103" s="1"/>
      <c r="ED103" s="1"/>
      <c r="EE103" s="1"/>
      <c r="EG103" s="1"/>
      <c r="EH103" s="1"/>
      <c r="EL103" s="15"/>
      <c r="EM103" s="1"/>
      <c r="EN103" s="1"/>
      <c r="EP103" s="1"/>
      <c r="EQ103" s="1"/>
      <c r="ER103" s="1"/>
      <c r="ES103" s="1"/>
      <c r="ET103" s="1"/>
      <c r="EV103" s="1"/>
      <c r="EW103" s="1"/>
      <c r="EY103" s="1"/>
      <c r="EZ103" s="1"/>
      <c r="FB103" s="1"/>
      <c r="FC103" s="1"/>
    </row>
    <row r="104" spans="1:159" ht="15.75" customHeight="1" x14ac:dyDescent="0.3">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EA104" s="1"/>
      <c r="EB104" s="1"/>
      <c r="ED104" s="1"/>
      <c r="EE104" s="1"/>
      <c r="EG104" s="1"/>
      <c r="EH104" s="1"/>
      <c r="EL104" s="15"/>
      <c r="EM104" s="1"/>
      <c r="EN104" s="1"/>
      <c r="EP104" s="1"/>
      <c r="EQ104" s="1"/>
      <c r="ER104" s="1"/>
      <c r="ES104" s="1"/>
      <c r="ET104" s="1"/>
      <c r="EV104" s="1"/>
      <c r="EW104" s="1"/>
      <c r="EY104" s="1"/>
      <c r="EZ104" s="1"/>
      <c r="FB104" s="1"/>
      <c r="FC104" s="1"/>
    </row>
    <row r="105" spans="1:159" ht="15.75" customHeight="1" x14ac:dyDescent="0.3">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EA105" s="1"/>
      <c r="EB105" s="1"/>
      <c r="ED105" s="1"/>
      <c r="EE105" s="1"/>
      <c r="EG105" s="1"/>
      <c r="EH105" s="1"/>
      <c r="EL105" s="15"/>
      <c r="EM105" s="1"/>
      <c r="EN105" s="1"/>
      <c r="EP105" s="1"/>
      <c r="EQ105" s="1"/>
      <c r="ER105" s="1"/>
      <c r="ES105" s="1"/>
      <c r="ET105" s="1"/>
      <c r="EV105" s="1"/>
      <c r="EW105" s="1"/>
      <c r="EY105" s="1"/>
      <c r="EZ105" s="1"/>
      <c r="FB105" s="1"/>
      <c r="FC105" s="1"/>
    </row>
    <row r="106" spans="1:159" ht="15.75" customHeight="1" x14ac:dyDescent="0.3">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EA106" s="1"/>
      <c r="EB106" s="1"/>
      <c r="ED106" s="1"/>
      <c r="EE106" s="1"/>
      <c r="EG106" s="1"/>
      <c r="EH106" s="1"/>
      <c r="EL106" s="15"/>
      <c r="EM106" s="1"/>
      <c r="EN106" s="1"/>
      <c r="EP106" s="1"/>
      <c r="EQ106" s="1"/>
      <c r="ER106" s="1"/>
      <c r="ES106" s="1"/>
      <c r="ET106" s="1"/>
      <c r="EV106" s="1"/>
      <c r="EW106" s="1"/>
      <c r="EY106" s="1"/>
      <c r="EZ106" s="1"/>
      <c r="FB106" s="1"/>
      <c r="FC106" s="1"/>
    </row>
    <row r="107" spans="1:159" ht="15.75" customHeight="1" x14ac:dyDescent="0.3">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EA107" s="1"/>
      <c r="EB107" s="1"/>
      <c r="ED107" s="1"/>
      <c r="EE107" s="1"/>
      <c r="EG107" s="1"/>
      <c r="EH107" s="1"/>
      <c r="EL107" s="15"/>
      <c r="EM107" s="1"/>
      <c r="EN107" s="1"/>
      <c r="EP107" s="1"/>
      <c r="EQ107" s="1"/>
      <c r="ER107" s="1"/>
      <c r="ES107" s="1"/>
      <c r="ET107" s="1"/>
      <c r="EV107" s="1"/>
      <c r="EW107" s="1"/>
      <c r="EY107" s="1"/>
      <c r="EZ107" s="1"/>
      <c r="FB107" s="1"/>
      <c r="FC107" s="1"/>
    </row>
    <row r="108" spans="1:159" ht="15.75" customHeight="1" x14ac:dyDescent="0.3">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EA108" s="1"/>
      <c r="EB108" s="1"/>
      <c r="ED108" s="1"/>
      <c r="EE108" s="1"/>
      <c r="EG108" s="1"/>
      <c r="EH108" s="1"/>
      <c r="EL108" s="15"/>
      <c r="EM108" s="1"/>
      <c r="EN108" s="1"/>
      <c r="EP108" s="1"/>
      <c r="EQ108" s="1"/>
      <c r="ER108" s="1"/>
      <c r="ES108" s="1"/>
      <c r="ET108" s="1"/>
      <c r="EV108" s="1"/>
      <c r="EW108" s="1"/>
      <c r="EY108" s="1"/>
      <c r="EZ108" s="1"/>
      <c r="FB108" s="1"/>
      <c r="FC108" s="1"/>
    </row>
    <row r="109" spans="1:159" ht="15.75" customHeight="1" x14ac:dyDescent="0.3">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EA109" s="1"/>
      <c r="EB109" s="1"/>
      <c r="ED109" s="1"/>
      <c r="EE109" s="1"/>
      <c r="EG109" s="1"/>
      <c r="EH109" s="1"/>
      <c r="EL109" s="15"/>
      <c r="EM109" s="1"/>
      <c r="EN109" s="1"/>
      <c r="EP109" s="1"/>
      <c r="EQ109" s="1"/>
      <c r="ER109" s="1"/>
      <c r="ES109" s="1"/>
      <c r="ET109" s="1"/>
      <c r="EV109" s="1"/>
      <c r="EW109" s="1"/>
      <c r="EY109" s="1"/>
      <c r="EZ109" s="1"/>
      <c r="FB109" s="1"/>
      <c r="FC109" s="1"/>
    </row>
    <row r="110" spans="1:159" ht="15.75" customHeight="1" x14ac:dyDescent="0.3">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EA110" s="1"/>
      <c r="EB110" s="1"/>
      <c r="ED110" s="1"/>
      <c r="EE110" s="1"/>
      <c r="EG110" s="1"/>
      <c r="EH110" s="1"/>
      <c r="EL110" s="15"/>
      <c r="EM110" s="1"/>
      <c r="EN110" s="1"/>
      <c r="EP110" s="1"/>
      <c r="EQ110" s="1"/>
      <c r="ER110" s="1"/>
      <c r="ES110" s="1"/>
      <c r="ET110" s="1"/>
      <c r="EV110" s="1"/>
      <c r="EW110" s="1"/>
      <c r="EY110" s="1"/>
      <c r="EZ110" s="1"/>
      <c r="FB110" s="1"/>
      <c r="FC110" s="1"/>
    </row>
    <row r="111" spans="1:159" ht="15.75" customHeight="1" x14ac:dyDescent="0.3">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EA111" s="1"/>
      <c r="EB111" s="1"/>
      <c r="ED111" s="1"/>
      <c r="EE111" s="1"/>
      <c r="EG111" s="1"/>
      <c r="EH111" s="1"/>
      <c r="EL111" s="15"/>
      <c r="EM111" s="1"/>
      <c r="EN111" s="1"/>
      <c r="EP111" s="1"/>
      <c r="EQ111" s="1"/>
      <c r="ER111" s="1"/>
      <c r="ES111" s="1"/>
      <c r="ET111" s="1"/>
      <c r="EV111" s="1"/>
      <c r="EW111" s="1"/>
      <c r="EY111" s="1"/>
      <c r="EZ111" s="1"/>
      <c r="FB111" s="1"/>
      <c r="FC111" s="1"/>
    </row>
    <row r="112" spans="1:159" ht="15.75" customHeight="1" x14ac:dyDescent="0.3">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EA112" s="1"/>
      <c r="EB112" s="1"/>
      <c r="ED112" s="1"/>
      <c r="EE112" s="1"/>
      <c r="EG112" s="1"/>
      <c r="EH112" s="1"/>
      <c r="EL112" s="15"/>
      <c r="EM112" s="1"/>
      <c r="EN112" s="1"/>
      <c r="EP112" s="1"/>
      <c r="EQ112" s="1"/>
      <c r="ER112" s="1"/>
      <c r="ES112" s="1"/>
      <c r="ET112" s="1"/>
      <c r="EV112" s="1"/>
      <c r="EW112" s="1"/>
      <c r="EY112" s="1"/>
      <c r="EZ112" s="1"/>
      <c r="FB112" s="1"/>
      <c r="FC112" s="1"/>
    </row>
    <row r="113" spans="1:159" ht="15.75" customHeight="1" x14ac:dyDescent="0.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EA113" s="1"/>
      <c r="EB113" s="1"/>
      <c r="ED113" s="1"/>
      <c r="EE113" s="1"/>
      <c r="EG113" s="1"/>
      <c r="EH113" s="1"/>
      <c r="EL113" s="15"/>
      <c r="EM113" s="1"/>
      <c r="EN113" s="1"/>
      <c r="EP113" s="1"/>
      <c r="EQ113" s="1"/>
      <c r="ER113" s="1"/>
      <c r="ES113" s="1"/>
      <c r="ET113" s="1"/>
      <c r="EV113" s="1"/>
      <c r="EW113" s="1"/>
      <c r="EY113" s="1"/>
      <c r="EZ113" s="1"/>
      <c r="FB113" s="1"/>
      <c r="FC113" s="1"/>
    </row>
    <row r="114" spans="1:159" ht="15.75" customHeight="1" x14ac:dyDescent="0.3">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EA114" s="1"/>
      <c r="EB114" s="1"/>
      <c r="ED114" s="1"/>
      <c r="EE114" s="1"/>
      <c r="EG114" s="1"/>
      <c r="EH114" s="1"/>
      <c r="EL114" s="15"/>
      <c r="EM114" s="1"/>
      <c r="EN114" s="1"/>
      <c r="EP114" s="1"/>
      <c r="EQ114" s="1"/>
      <c r="ER114" s="1"/>
      <c r="ES114" s="1"/>
      <c r="ET114" s="1"/>
      <c r="EV114" s="1"/>
      <c r="EW114" s="1"/>
      <c r="EY114" s="1"/>
      <c r="EZ114" s="1"/>
      <c r="FB114" s="1"/>
      <c r="FC114" s="1"/>
    </row>
    <row r="115" spans="1:159" ht="15.75" customHeight="1" x14ac:dyDescent="0.3">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EA115" s="1"/>
      <c r="EB115" s="1"/>
      <c r="ED115" s="1"/>
      <c r="EE115" s="1"/>
      <c r="EG115" s="1"/>
      <c r="EH115" s="1"/>
      <c r="EL115" s="15"/>
      <c r="EM115" s="1"/>
      <c r="EN115" s="1"/>
      <c r="EP115" s="1"/>
      <c r="EQ115" s="1"/>
      <c r="ER115" s="1"/>
      <c r="ES115" s="1"/>
      <c r="ET115" s="1"/>
      <c r="EV115" s="1"/>
      <c r="EW115" s="1"/>
      <c r="EY115" s="1"/>
      <c r="EZ115" s="1"/>
      <c r="FB115" s="1"/>
      <c r="FC115" s="1"/>
    </row>
    <row r="116" spans="1:159" ht="15.75" customHeight="1" x14ac:dyDescent="0.3">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EA116" s="1"/>
      <c r="EB116" s="1"/>
      <c r="ED116" s="1"/>
      <c r="EE116" s="1"/>
      <c r="EG116" s="1"/>
      <c r="EH116" s="1"/>
      <c r="EL116" s="15"/>
      <c r="EM116" s="1"/>
      <c r="EN116" s="1"/>
      <c r="EP116" s="1"/>
      <c r="EQ116" s="1"/>
      <c r="ER116" s="1"/>
      <c r="ES116" s="1"/>
      <c r="ET116" s="1"/>
      <c r="EV116" s="1"/>
      <c r="EW116" s="1"/>
      <c r="EY116" s="1"/>
      <c r="EZ116" s="1"/>
      <c r="FB116" s="1"/>
      <c r="FC116" s="1"/>
    </row>
    <row r="117" spans="1:159" ht="15.75" customHeight="1" x14ac:dyDescent="0.3">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EA117" s="1"/>
      <c r="EB117" s="1"/>
      <c r="ED117" s="1"/>
      <c r="EE117" s="1"/>
      <c r="EG117" s="1"/>
      <c r="EH117" s="1"/>
      <c r="EL117" s="15"/>
      <c r="EM117" s="1"/>
      <c r="EN117" s="1"/>
      <c r="EP117" s="1"/>
      <c r="EQ117" s="1"/>
      <c r="ER117" s="1"/>
      <c r="ES117" s="1"/>
      <c r="ET117" s="1"/>
      <c r="EV117" s="1"/>
      <c r="EW117" s="1"/>
      <c r="EY117" s="1"/>
      <c r="EZ117" s="1"/>
      <c r="FB117" s="1"/>
      <c r="FC117" s="1"/>
    </row>
    <row r="118" spans="1:159" ht="15.75" customHeight="1" x14ac:dyDescent="0.3">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EA118" s="1"/>
      <c r="EB118" s="1"/>
      <c r="ED118" s="1"/>
      <c r="EE118" s="1"/>
      <c r="EG118" s="1"/>
      <c r="EH118" s="1"/>
      <c r="EL118" s="15"/>
      <c r="EM118" s="1"/>
      <c r="EN118" s="1"/>
      <c r="EP118" s="1"/>
      <c r="EQ118" s="1"/>
      <c r="ER118" s="1"/>
      <c r="ES118" s="1"/>
      <c r="ET118" s="1"/>
      <c r="EV118" s="1"/>
      <c r="EW118" s="1"/>
      <c r="EY118" s="1"/>
      <c r="EZ118" s="1"/>
      <c r="FB118" s="1"/>
      <c r="FC118" s="1"/>
    </row>
    <row r="119" spans="1:159" ht="15.75" customHeight="1"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EA119" s="1"/>
      <c r="EB119" s="1"/>
      <c r="ED119" s="1"/>
      <c r="EE119" s="1"/>
      <c r="EG119" s="1"/>
      <c r="EH119" s="1"/>
      <c r="EL119" s="15"/>
      <c r="EM119" s="1"/>
      <c r="EN119" s="1"/>
      <c r="EP119" s="1"/>
      <c r="EQ119" s="1"/>
      <c r="ER119" s="1"/>
      <c r="ES119" s="1"/>
      <c r="ET119" s="1"/>
      <c r="EV119" s="1"/>
      <c r="EW119" s="1"/>
      <c r="EY119" s="1"/>
      <c r="EZ119" s="1"/>
      <c r="FB119" s="1"/>
      <c r="FC119" s="1"/>
    </row>
    <row r="120" spans="1:159" ht="15.75" customHeight="1"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EA120" s="1"/>
      <c r="EB120" s="1"/>
      <c r="ED120" s="1"/>
      <c r="EE120" s="1"/>
      <c r="EG120" s="1"/>
      <c r="EH120" s="1"/>
      <c r="EL120" s="15"/>
      <c r="EM120" s="1"/>
      <c r="EN120" s="1"/>
      <c r="EP120" s="1"/>
      <c r="EQ120" s="1"/>
      <c r="ER120" s="1"/>
      <c r="ES120" s="1"/>
      <c r="ET120" s="1"/>
      <c r="EV120" s="1"/>
      <c r="EW120" s="1"/>
      <c r="EY120" s="1"/>
      <c r="EZ120" s="1"/>
      <c r="FB120" s="1"/>
      <c r="FC120" s="1"/>
    </row>
    <row r="121" spans="1:159" ht="15.75" customHeight="1"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EA121" s="1"/>
      <c r="EB121" s="1"/>
      <c r="ED121" s="1"/>
      <c r="EE121" s="1"/>
      <c r="EG121" s="1"/>
      <c r="EH121" s="1"/>
      <c r="EL121" s="15"/>
      <c r="EM121" s="1"/>
      <c r="EN121" s="1"/>
      <c r="EP121" s="1"/>
      <c r="EQ121" s="1"/>
      <c r="ER121" s="1"/>
      <c r="ES121" s="1"/>
      <c r="ET121" s="1"/>
      <c r="EV121" s="1"/>
      <c r="EW121" s="1"/>
      <c r="EY121" s="1"/>
      <c r="EZ121" s="1"/>
      <c r="FB121" s="1"/>
      <c r="FC121" s="1"/>
    </row>
    <row r="122" spans="1:159" ht="15.75" customHeight="1"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EA122" s="1"/>
      <c r="EB122" s="1"/>
      <c r="ED122" s="1"/>
      <c r="EE122" s="1"/>
      <c r="EG122" s="1"/>
      <c r="EH122" s="1"/>
      <c r="EL122" s="15"/>
      <c r="EM122" s="1"/>
      <c r="EN122" s="1"/>
      <c r="EP122" s="1"/>
      <c r="EQ122" s="1"/>
      <c r="ER122" s="1"/>
      <c r="ES122" s="1"/>
      <c r="ET122" s="1"/>
      <c r="EV122" s="1"/>
      <c r="EW122" s="1"/>
      <c r="EY122" s="1"/>
      <c r="EZ122" s="1"/>
      <c r="FB122" s="1"/>
      <c r="FC122" s="1"/>
    </row>
    <row r="123" spans="1:159" ht="15.75" customHeight="1"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EA123" s="1"/>
      <c r="EB123" s="1"/>
      <c r="ED123" s="1"/>
      <c r="EE123" s="1"/>
      <c r="EG123" s="1"/>
      <c r="EH123" s="1"/>
      <c r="EL123" s="15"/>
      <c r="EM123" s="1"/>
      <c r="EN123" s="1"/>
      <c r="EP123" s="1"/>
      <c r="EQ123" s="1"/>
      <c r="ER123" s="1"/>
      <c r="ES123" s="1"/>
      <c r="ET123" s="1"/>
      <c r="EV123" s="1"/>
      <c r="EW123" s="1"/>
      <c r="EY123" s="1"/>
      <c r="EZ123" s="1"/>
      <c r="FB123" s="1"/>
      <c r="FC123" s="1"/>
    </row>
    <row r="124" spans="1:159" ht="15.75" customHeight="1"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EA124" s="1"/>
      <c r="EB124" s="1"/>
      <c r="ED124" s="1"/>
      <c r="EE124" s="1"/>
      <c r="EG124" s="1"/>
      <c r="EH124" s="1"/>
      <c r="EL124" s="15"/>
      <c r="EM124" s="1"/>
      <c r="EN124" s="1"/>
      <c r="EP124" s="1"/>
      <c r="EQ124" s="1"/>
      <c r="ER124" s="1"/>
      <c r="ES124" s="1"/>
      <c r="ET124" s="1"/>
      <c r="EV124" s="1"/>
      <c r="EW124" s="1"/>
      <c r="EY124" s="1"/>
      <c r="EZ124" s="1"/>
      <c r="FB124" s="1"/>
      <c r="FC124" s="1"/>
    </row>
    <row r="125" spans="1:159" ht="15.75" customHeight="1"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EA125" s="1"/>
      <c r="EB125" s="1"/>
      <c r="ED125" s="1"/>
      <c r="EE125" s="1"/>
      <c r="EG125" s="1"/>
      <c r="EH125" s="1"/>
      <c r="EL125" s="15"/>
      <c r="EM125" s="1"/>
      <c r="EN125" s="1"/>
      <c r="EP125" s="1"/>
      <c r="EQ125" s="1"/>
      <c r="ER125" s="1"/>
      <c r="ES125" s="1"/>
      <c r="ET125" s="1"/>
      <c r="EV125" s="1"/>
      <c r="EW125" s="1"/>
      <c r="EY125" s="1"/>
      <c r="EZ125" s="1"/>
      <c r="FB125" s="1"/>
      <c r="FC125" s="1"/>
    </row>
    <row r="126" spans="1:159" ht="15.75" customHeight="1"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EA126" s="1"/>
      <c r="EB126" s="1"/>
      <c r="ED126" s="1"/>
      <c r="EE126" s="1"/>
      <c r="EG126" s="1"/>
      <c r="EH126" s="1"/>
      <c r="EL126" s="15"/>
      <c r="EM126" s="1"/>
      <c r="EN126" s="1"/>
      <c r="EP126" s="1"/>
      <c r="EQ126" s="1"/>
      <c r="ER126" s="1"/>
      <c r="ES126" s="1"/>
      <c r="ET126" s="1"/>
      <c r="EV126" s="1"/>
      <c r="EW126" s="1"/>
      <c r="EY126" s="1"/>
      <c r="EZ126" s="1"/>
      <c r="FB126" s="1"/>
      <c r="FC126" s="1"/>
    </row>
    <row r="127" spans="1:159" ht="15.75" customHeight="1"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EA127" s="1"/>
      <c r="EB127" s="1"/>
      <c r="ED127" s="1"/>
      <c r="EE127" s="1"/>
      <c r="EG127" s="1"/>
      <c r="EH127" s="1"/>
      <c r="EL127" s="15"/>
      <c r="EM127" s="1"/>
      <c r="EN127" s="1"/>
      <c r="EP127" s="1"/>
      <c r="EQ127" s="1"/>
      <c r="ER127" s="1"/>
      <c r="ES127" s="1"/>
      <c r="ET127" s="1"/>
      <c r="EV127" s="1"/>
      <c r="EW127" s="1"/>
      <c r="EY127" s="1"/>
      <c r="EZ127" s="1"/>
      <c r="FB127" s="1"/>
      <c r="FC127" s="1"/>
    </row>
    <row r="128" spans="1:159" ht="15.75" customHeight="1"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EA128" s="1"/>
      <c r="EB128" s="1"/>
      <c r="ED128" s="1"/>
      <c r="EE128" s="1"/>
      <c r="EG128" s="1"/>
      <c r="EH128" s="1"/>
      <c r="EL128" s="15"/>
      <c r="EM128" s="1"/>
      <c r="EN128" s="1"/>
      <c r="EP128" s="1"/>
      <c r="EQ128" s="1"/>
      <c r="ER128" s="1"/>
      <c r="ES128" s="1"/>
      <c r="ET128" s="1"/>
      <c r="EV128" s="1"/>
      <c r="EW128" s="1"/>
      <c r="EY128" s="1"/>
      <c r="EZ128" s="1"/>
      <c r="FB128" s="1"/>
      <c r="FC128" s="1"/>
    </row>
    <row r="129" spans="1:159" ht="15.75" customHeight="1"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EA129" s="1"/>
      <c r="EB129" s="1"/>
      <c r="ED129" s="1"/>
      <c r="EE129" s="1"/>
      <c r="EG129" s="1"/>
      <c r="EH129" s="1"/>
      <c r="EL129" s="15"/>
      <c r="EM129" s="1"/>
      <c r="EN129" s="1"/>
      <c r="EP129" s="1"/>
      <c r="EQ129" s="1"/>
      <c r="ER129" s="1"/>
      <c r="ES129" s="1"/>
      <c r="ET129" s="1"/>
      <c r="EV129" s="1"/>
      <c r="EW129" s="1"/>
      <c r="EY129" s="1"/>
      <c r="EZ129" s="1"/>
      <c r="FB129" s="1"/>
      <c r="FC129" s="1"/>
    </row>
    <row r="130" spans="1:159" ht="15.75" customHeight="1" x14ac:dyDescent="0.3">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EA130" s="1"/>
      <c r="EB130" s="1"/>
      <c r="ED130" s="1"/>
      <c r="EE130" s="1"/>
      <c r="EG130" s="1"/>
      <c r="EH130" s="1"/>
      <c r="EL130" s="15"/>
      <c r="EM130" s="1"/>
      <c r="EN130" s="1"/>
      <c r="EP130" s="1"/>
      <c r="EQ130" s="1"/>
      <c r="ER130" s="1"/>
      <c r="ES130" s="1"/>
      <c r="ET130" s="1"/>
      <c r="EV130" s="1"/>
      <c r="EW130" s="1"/>
      <c r="EY130" s="1"/>
      <c r="EZ130" s="1"/>
      <c r="FB130" s="1"/>
      <c r="FC130" s="1"/>
    </row>
    <row r="131" spans="1:159" ht="15.75" customHeight="1" x14ac:dyDescent="0.3">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EA131" s="1"/>
      <c r="EB131" s="1"/>
      <c r="ED131" s="1"/>
      <c r="EE131" s="1"/>
      <c r="EG131" s="1"/>
      <c r="EH131" s="1"/>
      <c r="EL131" s="15"/>
      <c r="EM131" s="1"/>
      <c r="EN131" s="1"/>
      <c r="EP131" s="1"/>
      <c r="EQ131" s="1"/>
      <c r="ER131" s="1"/>
      <c r="ES131" s="1"/>
      <c r="ET131" s="1"/>
      <c r="EV131" s="1"/>
      <c r="EW131" s="1"/>
      <c r="EY131" s="1"/>
      <c r="EZ131" s="1"/>
      <c r="FB131" s="1"/>
      <c r="FC131" s="1"/>
    </row>
    <row r="132" spans="1:159" ht="15.75" customHeight="1" x14ac:dyDescent="0.3">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EA132" s="1"/>
      <c r="EB132" s="1"/>
      <c r="ED132" s="1"/>
      <c r="EE132" s="1"/>
      <c r="EG132" s="1"/>
      <c r="EH132" s="1"/>
      <c r="EL132" s="15"/>
      <c r="EM132" s="1"/>
      <c r="EN132" s="1"/>
      <c r="EP132" s="1"/>
      <c r="EQ132" s="1"/>
      <c r="ER132" s="1"/>
      <c r="ES132" s="1"/>
      <c r="ET132" s="1"/>
      <c r="EV132" s="1"/>
      <c r="EW132" s="1"/>
      <c r="EY132" s="1"/>
      <c r="EZ132" s="1"/>
      <c r="FB132" s="1"/>
      <c r="FC132" s="1"/>
    </row>
    <row r="133" spans="1:159" ht="15.75" customHeight="1" x14ac:dyDescent="0.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EA133" s="1"/>
      <c r="EB133" s="1"/>
      <c r="ED133" s="1"/>
      <c r="EE133" s="1"/>
      <c r="EG133" s="1"/>
      <c r="EH133" s="1"/>
      <c r="EL133" s="15"/>
      <c r="EM133" s="1"/>
      <c r="EN133" s="1"/>
      <c r="EP133" s="1"/>
      <c r="EQ133" s="1"/>
      <c r="ER133" s="1"/>
      <c r="ES133" s="1"/>
      <c r="ET133" s="1"/>
      <c r="EV133" s="1"/>
      <c r="EW133" s="1"/>
      <c r="EY133" s="1"/>
      <c r="EZ133" s="1"/>
      <c r="FB133" s="1"/>
      <c r="FC133" s="1"/>
    </row>
    <row r="134" spans="1:159" ht="15.75" customHeight="1" x14ac:dyDescent="0.3">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EA134" s="1"/>
      <c r="EB134" s="1"/>
      <c r="ED134" s="1"/>
      <c r="EE134" s="1"/>
      <c r="EG134" s="1"/>
      <c r="EH134" s="1"/>
      <c r="EL134" s="15"/>
      <c r="EM134" s="1"/>
      <c r="EN134" s="1"/>
      <c r="EP134" s="1"/>
      <c r="EQ134" s="1"/>
      <c r="ER134" s="1"/>
      <c r="ES134" s="1"/>
      <c r="ET134" s="1"/>
      <c r="EV134" s="1"/>
      <c r="EW134" s="1"/>
      <c r="EY134" s="1"/>
      <c r="EZ134" s="1"/>
      <c r="FB134" s="1"/>
      <c r="FC134" s="1"/>
    </row>
    <row r="135" spans="1:159" ht="15.75" customHeight="1" x14ac:dyDescent="0.3">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EA135" s="1"/>
      <c r="EB135" s="1"/>
      <c r="ED135" s="1"/>
      <c r="EE135" s="1"/>
      <c r="EG135" s="1"/>
      <c r="EH135" s="1"/>
      <c r="EL135" s="15"/>
      <c r="EM135" s="1"/>
      <c r="EN135" s="1"/>
      <c r="EP135" s="1"/>
      <c r="EQ135" s="1"/>
      <c r="ER135" s="1"/>
      <c r="ES135" s="1"/>
      <c r="ET135" s="1"/>
      <c r="EV135" s="1"/>
      <c r="EW135" s="1"/>
      <c r="EY135" s="1"/>
      <c r="EZ135" s="1"/>
      <c r="FB135" s="1"/>
      <c r="FC135" s="1"/>
    </row>
    <row r="136" spans="1:159" ht="15.75" customHeight="1" x14ac:dyDescent="0.3">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EA136" s="1"/>
      <c r="EB136" s="1"/>
      <c r="ED136" s="1"/>
      <c r="EE136" s="1"/>
      <c r="EG136" s="1"/>
      <c r="EH136" s="1"/>
      <c r="EL136" s="15"/>
      <c r="EM136" s="1"/>
      <c r="EN136" s="1"/>
      <c r="EP136" s="1"/>
      <c r="EQ136" s="1"/>
      <c r="ER136" s="1"/>
      <c r="ES136" s="1"/>
      <c r="ET136" s="1"/>
      <c r="EV136" s="1"/>
      <c r="EW136" s="1"/>
      <c r="EY136" s="1"/>
      <c r="EZ136" s="1"/>
      <c r="FB136" s="1"/>
      <c r="FC136" s="1"/>
    </row>
    <row r="137" spans="1:159" ht="15.75" customHeight="1" x14ac:dyDescent="0.3">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EA137" s="1"/>
      <c r="EB137" s="1"/>
      <c r="ED137" s="1"/>
      <c r="EE137" s="1"/>
      <c r="EG137" s="1"/>
      <c r="EH137" s="1"/>
      <c r="EL137" s="15"/>
      <c r="EM137" s="1"/>
      <c r="EN137" s="1"/>
      <c r="EP137" s="1"/>
      <c r="EQ137" s="1"/>
      <c r="ER137" s="1"/>
      <c r="ES137" s="1"/>
      <c r="ET137" s="1"/>
      <c r="EV137" s="1"/>
      <c r="EW137" s="1"/>
      <c r="EY137" s="1"/>
      <c r="EZ137" s="1"/>
      <c r="FB137" s="1"/>
      <c r="FC137" s="1"/>
    </row>
    <row r="138" spans="1:159" ht="15.75" customHeight="1" x14ac:dyDescent="0.3">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EA138" s="1"/>
      <c r="EB138" s="1"/>
      <c r="ED138" s="1"/>
      <c r="EE138" s="1"/>
      <c r="EG138" s="1"/>
      <c r="EH138" s="1"/>
      <c r="EL138" s="15"/>
      <c r="EM138" s="1"/>
      <c r="EN138" s="1"/>
      <c r="EP138" s="1"/>
      <c r="EQ138" s="1"/>
      <c r="ER138" s="1"/>
      <c r="ES138" s="1"/>
      <c r="ET138" s="1"/>
      <c r="EV138" s="1"/>
      <c r="EW138" s="1"/>
      <c r="EY138" s="1"/>
      <c r="EZ138" s="1"/>
      <c r="FB138" s="1"/>
      <c r="FC138" s="1"/>
    </row>
    <row r="139" spans="1:159" ht="15.75" customHeight="1" x14ac:dyDescent="0.3">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EA139" s="1"/>
      <c r="EB139" s="1"/>
      <c r="ED139" s="1"/>
      <c r="EE139" s="1"/>
      <c r="EG139" s="1"/>
      <c r="EH139" s="1"/>
      <c r="EL139" s="15"/>
      <c r="EM139" s="1"/>
      <c r="EN139" s="1"/>
      <c r="EP139" s="1"/>
      <c r="EQ139" s="1"/>
      <c r="ER139" s="1"/>
      <c r="ES139" s="1"/>
      <c r="ET139" s="1"/>
      <c r="EV139" s="1"/>
      <c r="EW139" s="1"/>
      <c r="EY139" s="1"/>
      <c r="EZ139" s="1"/>
      <c r="FB139" s="1"/>
      <c r="FC139" s="1"/>
    </row>
    <row r="140" spans="1:159" ht="15.75" customHeight="1" x14ac:dyDescent="0.3">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EA140" s="1"/>
      <c r="EB140" s="1"/>
      <c r="ED140" s="1"/>
      <c r="EE140" s="1"/>
      <c r="EG140" s="1"/>
      <c r="EH140" s="1"/>
      <c r="EL140" s="15"/>
      <c r="EM140" s="1"/>
      <c r="EN140" s="1"/>
      <c r="EP140" s="1"/>
      <c r="EQ140" s="1"/>
      <c r="ER140" s="1"/>
      <c r="ES140" s="1"/>
      <c r="ET140" s="1"/>
      <c r="EV140" s="1"/>
      <c r="EW140" s="1"/>
      <c r="EY140" s="1"/>
      <c r="EZ140" s="1"/>
      <c r="FB140" s="1"/>
      <c r="FC140" s="1"/>
    </row>
    <row r="141" spans="1:159" ht="15.75" customHeight="1" x14ac:dyDescent="0.3">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EA141" s="1"/>
      <c r="EB141" s="1"/>
      <c r="ED141" s="1"/>
      <c r="EE141" s="1"/>
      <c r="EG141" s="1"/>
      <c r="EH141" s="1"/>
      <c r="EL141" s="15"/>
      <c r="EM141" s="1"/>
      <c r="EN141" s="1"/>
      <c r="EP141" s="1"/>
      <c r="EQ141" s="1"/>
      <c r="ER141" s="1"/>
      <c r="ES141" s="1"/>
      <c r="ET141" s="1"/>
      <c r="EV141" s="1"/>
      <c r="EW141" s="1"/>
      <c r="EY141" s="1"/>
      <c r="EZ141" s="1"/>
      <c r="FB141" s="1"/>
      <c r="FC141" s="1"/>
    </row>
    <row r="142" spans="1:159" ht="15.75" customHeight="1" x14ac:dyDescent="0.3">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EA142" s="1"/>
      <c r="EB142" s="1"/>
      <c r="ED142" s="1"/>
      <c r="EE142" s="1"/>
      <c r="EG142" s="1"/>
      <c r="EH142" s="1"/>
      <c r="EL142" s="15"/>
      <c r="EM142" s="1"/>
      <c r="EN142" s="1"/>
      <c r="EP142" s="1"/>
      <c r="EQ142" s="1"/>
      <c r="ER142" s="1"/>
      <c r="ES142" s="1"/>
      <c r="ET142" s="1"/>
      <c r="EV142" s="1"/>
      <c r="EW142" s="1"/>
      <c r="EY142" s="1"/>
      <c r="EZ142" s="1"/>
      <c r="FB142" s="1"/>
      <c r="FC142" s="1"/>
    </row>
    <row r="143" spans="1:159" ht="15.75" customHeight="1" x14ac:dyDescent="0.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EA143" s="1"/>
      <c r="EB143" s="1"/>
      <c r="ED143" s="1"/>
      <c r="EE143" s="1"/>
      <c r="EG143" s="1"/>
      <c r="EH143" s="1"/>
      <c r="EL143" s="15"/>
      <c r="EM143" s="1"/>
      <c r="EN143" s="1"/>
      <c r="EP143" s="1"/>
      <c r="EQ143" s="1"/>
      <c r="ER143" s="1"/>
      <c r="ES143" s="1"/>
      <c r="ET143" s="1"/>
      <c r="EV143" s="1"/>
      <c r="EW143" s="1"/>
      <c r="EY143" s="1"/>
      <c r="EZ143" s="1"/>
      <c r="FB143" s="1"/>
      <c r="FC143" s="1"/>
    </row>
    <row r="144" spans="1:159" ht="15.75" customHeight="1" x14ac:dyDescent="0.3">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EA144" s="1"/>
      <c r="EB144" s="1"/>
      <c r="ED144" s="1"/>
      <c r="EE144" s="1"/>
      <c r="EG144" s="1"/>
      <c r="EH144" s="1"/>
      <c r="EL144" s="15"/>
      <c r="EM144" s="1"/>
      <c r="EN144" s="1"/>
      <c r="EP144" s="1"/>
      <c r="EQ144" s="1"/>
      <c r="ER144" s="1"/>
      <c r="ES144" s="1"/>
      <c r="ET144" s="1"/>
      <c r="EV144" s="1"/>
      <c r="EW144" s="1"/>
      <c r="EY144" s="1"/>
      <c r="EZ144" s="1"/>
      <c r="FB144" s="1"/>
      <c r="FC144" s="1"/>
    </row>
    <row r="145" spans="1:159" ht="15.75" customHeight="1" x14ac:dyDescent="0.3">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EA145" s="1"/>
      <c r="EB145" s="1"/>
      <c r="ED145" s="1"/>
      <c r="EE145" s="1"/>
      <c r="EG145" s="1"/>
      <c r="EH145" s="1"/>
      <c r="EL145" s="15"/>
      <c r="EM145" s="1"/>
      <c r="EN145" s="1"/>
      <c r="EP145" s="1"/>
      <c r="EQ145" s="1"/>
      <c r="ER145" s="1"/>
      <c r="ES145" s="1"/>
      <c r="ET145" s="1"/>
      <c r="EV145" s="1"/>
      <c r="EW145" s="1"/>
      <c r="EY145" s="1"/>
      <c r="EZ145" s="1"/>
      <c r="FB145" s="1"/>
      <c r="FC145" s="1"/>
    </row>
    <row r="146" spans="1:159" ht="15.75" customHeight="1" x14ac:dyDescent="0.3">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EA146" s="1"/>
      <c r="EB146" s="1"/>
      <c r="ED146" s="1"/>
      <c r="EE146" s="1"/>
      <c r="EG146" s="1"/>
      <c r="EH146" s="1"/>
      <c r="EL146" s="15"/>
      <c r="EM146" s="1"/>
      <c r="EN146" s="1"/>
      <c r="EP146" s="1"/>
      <c r="EQ146" s="1"/>
      <c r="ER146" s="1"/>
      <c r="ES146" s="1"/>
      <c r="ET146" s="1"/>
      <c r="EV146" s="1"/>
      <c r="EW146" s="1"/>
      <c r="EY146" s="1"/>
      <c r="EZ146" s="1"/>
      <c r="FB146" s="1"/>
      <c r="FC146" s="1"/>
    </row>
    <row r="147" spans="1:159" ht="15.75" customHeight="1" x14ac:dyDescent="0.3">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EA147" s="1"/>
      <c r="EB147" s="1"/>
      <c r="ED147" s="1"/>
      <c r="EE147" s="1"/>
      <c r="EG147" s="1"/>
      <c r="EH147" s="1"/>
      <c r="EL147" s="15"/>
      <c r="EM147" s="1"/>
      <c r="EN147" s="1"/>
      <c r="EP147" s="1"/>
      <c r="EQ147" s="1"/>
      <c r="ER147" s="1"/>
      <c r="ES147" s="1"/>
      <c r="ET147" s="1"/>
      <c r="EV147" s="1"/>
      <c r="EW147" s="1"/>
      <c r="EY147" s="1"/>
      <c r="EZ147" s="1"/>
      <c r="FB147" s="1"/>
      <c r="FC147" s="1"/>
    </row>
    <row r="148" spans="1:159" ht="15.75" customHeight="1" x14ac:dyDescent="0.3">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EA148" s="1"/>
      <c r="EB148" s="1"/>
      <c r="ED148" s="1"/>
      <c r="EE148" s="1"/>
      <c r="EG148" s="1"/>
      <c r="EH148" s="1"/>
      <c r="EL148" s="15"/>
      <c r="EM148" s="1"/>
      <c r="EN148" s="1"/>
      <c r="EP148" s="1"/>
      <c r="EQ148" s="1"/>
      <c r="ER148" s="1"/>
      <c r="ES148" s="1"/>
      <c r="ET148" s="1"/>
      <c r="EV148" s="1"/>
      <c r="EW148" s="1"/>
      <c r="EY148" s="1"/>
      <c r="EZ148" s="1"/>
      <c r="FB148" s="1"/>
      <c r="FC148" s="1"/>
    </row>
    <row r="149" spans="1:159" ht="15.75" customHeight="1" x14ac:dyDescent="0.3">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EA149" s="1"/>
      <c r="EB149" s="1"/>
      <c r="ED149" s="1"/>
      <c r="EE149" s="1"/>
      <c r="EG149" s="1"/>
      <c r="EH149" s="1"/>
      <c r="EL149" s="15"/>
      <c r="EM149" s="1"/>
      <c r="EN149" s="1"/>
      <c r="EP149" s="1"/>
      <c r="EQ149" s="1"/>
      <c r="ER149" s="1"/>
      <c r="ES149" s="1"/>
      <c r="ET149" s="1"/>
      <c r="EV149" s="1"/>
      <c r="EW149" s="1"/>
      <c r="EY149" s="1"/>
      <c r="EZ149" s="1"/>
      <c r="FB149" s="1"/>
      <c r="FC149" s="1"/>
    </row>
    <row r="150" spans="1:159" ht="15.75" customHeight="1" x14ac:dyDescent="0.3">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EA150" s="1"/>
      <c r="EB150" s="1"/>
      <c r="ED150" s="1"/>
      <c r="EE150" s="1"/>
      <c r="EG150" s="1"/>
      <c r="EH150" s="1"/>
      <c r="EL150" s="15"/>
      <c r="EM150" s="1"/>
      <c r="EN150" s="1"/>
      <c r="EP150" s="1"/>
      <c r="EQ150" s="1"/>
      <c r="ER150" s="1"/>
      <c r="ES150" s="1"/>
      <c r="ET150" s="1"/>
      <c r="EV150" s="1"/>
      <c r="EW150" s="1"/>
      <c r="EY150" s="1"/>
      <c r="EZ150" s="1"/>
      <c r="FB150" s="1"/>
      <c r="FC150" s="1"/>
    </row>
    <row r="151" spans="1:159" ht="15.75" customHeight="1" x14ac:dyDescent="0.3">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EA151" s="1"/>
      <c r="EB151" s="1"/>
      <c r="ED151" s="1"/>
      <c r="EE151" s="1"/>
      <c r="EG151" s="1"/>
      <c r="EH151" s="1"/>
      <c r="EL151" s="15"/>
      <c r="EM151" s="1"/>
      <c r="EN151" s="1"/>
      <c r="EP151" s="1"/>
      <c r="EQ151" s="1"/>
      <c r="ER151" s="1"/>
      <c r="ES151" s="1"/>
      <c r="ET151" s="1"/>
      <c r="EV151" s="1"/>
      <c r="EW151" s="1"/>
      <c r="EY151" s="1"/>
      <c r="EZ151" s="1"/>
      <c r="FB151" s="1"/>
      <c r="FC151" s="1"/>
    </row>
    <row r="152" spans="1:159" ht="15.75" customHeight="1" x14ac:dyDescent="0.3">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EA152" s="1"/>
      <c r="EB152" s="1"/>
      <c r="ED152" s="1"/>
      <c r="EE152" s="1"/>
      <c r="EG152" s="1"/>
      <c r="EH152" s="1"/>
      <c r="EL152" s="15"/>
      <c r="EM152" s="1"/>
      <c r="EN152" s="1"/>
      <c r="EP152" s="1"/>
      <c r="EQ152" s="1"/>
      <c r="ER152" s="1"/>
      <c r="ES152" s="1"/>
      <c r="ET152" s="1"/>
      <c r="EV152" s="1"/>
      <c r="EW152" s="1"/>
      <c r="EY152" s="1"/>
      <c r="EZ152" s="1"/>
      <c r="FB152" s="1"/>
      <c r="FC152" s="1"/>
    </row>
    <row r="153" spans="1:159" ht="15.75" customHeight="1" x14ac:dyDescent="0.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EA153" s="1"/>
      <c r="EB153" s="1"/>
      <c r="ED153" s="1"/>
      <c r="EE153" s="1"/>
      <c r="EG153" s="1"/>
      <c r="EH153" s="1"/>
      <c r="EL153" s="15"/>
      <c r="EM153" s="1"/>
      <c r="EN153" s="1"/>
      <c r="EP153" s="1"/>
      <c r="EQ153" s="1"/>
      <c r="ER153" s="1"/>
      <c r="ES153" s="1"/>
      <c r="ET153" s="1"/>
      <c r="EV153" s="1"/>
      <c r="EW153" s="1"/>
      <c r="EY153" s="1"/>
      <c r="EZ153" s="1"/>
      <c r="FB153" s="1"/>
      <c r="FC153" s="1"/>
    </row>
    <row r="154" spans="1:159" ht="15.75" customHeight="1" x14ac:dyDescent="0.3">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EA154" s="1"/>
      <c r="EB154" s="1"/>
      <c r="ED154" s="1"/>
      <c r="EE154" s="1"/>
      <c r="EG154" s="1"/>
      <c r="EH154" s="1"/>
      <c r="EL154" s="15"/>
      <c r="EM154" s="1"/>
      <c r="EN154" s="1"/>
      <c r="EP154" s="1"/>
      <c r="EQ154" s="1"/>
      <c r="ER154" s="1"/>
      <c r="ES154" s="1"/>
      <c r="ET154" s="1"/>
      <c r="EV154" s="1"/>
      <c r="EW154" s="1"/>
      <c r="EY154" s="1"/>
      <c r="EZ154" s="1"/>
      <c r="FB154" s="1"/>
      <c r="FC154" s="1"/>
    </row>
    <row r="155" spans="1:159" ht="15.75" customHeight="1" x14ac:dyDescent="0.3">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EA155" s="1"/>
      <c r="EB155" s="1"/>
      <c r="ED155" s="1"/>
      <c r="EE155" s="1"/>
      <c r="EG155" s="1"/>
      <c r="EH155" s="1"/>
      <c r="EL155" s="15"/>
      <c r="EM155" s="1"/>
      <c r="EN155" s="1"/>
      <c r="EP155" s="1"/>
      <c r="EQ155" s="1"/>
      <c r="ER155" s="1"/>
      <c r="ES155" s="1"/>
      <c r="ET155" s="1"/>
      <c r="EV155" s="1"/>
      <c r="EW155" s="1"/>
      <c r="EY155" s="1"/>
      <c r="EZ155" s="1"/>
      <c r="FB155" s="1"/>
      <c r="FC155" s="1"/>
    </row>
    <row r="156" spans="1:159" ht="15.75" customHeight="1" x14ac:dyDescent="0.3">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EA156" s="1"/>
      <c r="EB156" s="1"/>
      <c r="ED156" s="1"/>
      <c r="EE156" s="1"/>
      <c r="EG156" s="1"/>
      <c r="EH156" s="1"/>
      <c r="EL156" s="15"/>
      <c r="EM156" s="1"/>
      <c r="EN156" s="1"/>
      <c r="EP156" s="1"/>
      <c r="EQ156" s="1"/>
      <c r="ER156" s="1"/>
      <c r="ES156" s="1"/>
      <c r="ET156" s="1"/>
      <c r="EV156" s="1"/>
      <c r="EW156" s="1"/>
      <c r="EY156" s="1"/>
      <c r="EZ156" s="1"/>
      <c r="FB156" s="1"/>
      <c r="FC156" s="1"/>
    </row>
    <row r="157" spans="1:159" ht="15.75" customHeight="1" x14ac:dyDescent="0.3">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EA157" s="1"/>
      <c r="EB157" s="1"/>
      <c r="ED157" s="1"/>
      <c r="EE157" s="1"/>
      <c r="EG157" s="1"/>
      <c r="EH157" s="1"/>
      <c r="EL157" s="15"/>
      <c r="EM157" s="1"/>
      <c r="EN157" s="1"/>
      <c r="EP157" s="1"/>
      <c r="EQ157" s="1"/>
      <c r="ER157" s="1"/>
      <c r="ES157" s="1"/>
      <c r="ET157" s="1"/>
      <c r="EV157" s="1"/>
      <c r="EW157" s="1"/>
      <c r="EY157" s="1"/>
      <c r="EZ157" s="1"/>
      <c r="FB157" s="1"/>
      <c r="FC157" s="1"/>
    </row>
    <row r="158" spans="1:159" ht="15.75" customHeight="1" x14ac:dyDescent="0.3">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EA158" s="1"/>
      <c r="EB158" s="1"/>
      <c r="ED158" s="1"/>
      <c r="EE158" s="1"/>
      <c r="EG158" s="1"/>
      <c r="EH158" s="1"/>
      <c r="EL158" s="15"/>
      <c r="EM158" s="1"/>
      <c r="EN158" s="1"/>
      <c r="EP158" s="1"/>
      <c r="EQ158" s="1"/>
      <c r="ER158" s="1"/>
      <c r="ES158" s="1"/>
      <c r="ET158" s="1"/>
      <c r="EV158" s="1"/>
      <c r="EW158" s="1"/>
      <c r="EY158" s="1"/>
      <c r="EZ158" s="1"/>
      <c r="FB158" s="1"/>
      <c r="FC158" s="1"/>
    </row>
    <row r="159" spans="1:159" ht="15.75" customHeight="1" x14ac:dyDescent="0.3">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EA159" s="1"/>
      <c r="EB159" s="1"/>
      <c r="ED159" s="1"/>
      <c r="EE159" s="1"/>
      <c r="EG159" s="1"/>
      <c r="EH159" s="1"/>
      <c r="EL159" s="15"/>
      <c r="EM159" s="1"/>
      <c r="EN159" s="1"/>
      <c r="EP159" s="1"/>
      <c r="EQ159" s="1"/>
      <c r="ER159" s="1"/>
      <c r="ES159" s="1"/>
      <c r="ET159" s="1"/>
      <c r="EV159" s="1"/>
      <c r="EW159" s="1"/>
      <c r="EY159" s="1"/>
      <c r="EZ159" s="1"/>
      <c r="FB159" s="1"/>
      <c r="FC159" s="1"/>
    </row>
    <row r="160" spans="1:159" ht="15.75" customHeight="1" x14ac:dyDescent="0.3">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EA160" s="1"/>
      <c r="EB160" s="1"/>
      <c r="ED160" s="1"/>
      <c r="EE160" s="1"/>
      <c r="EG160" s="1"/>
      <c r="EH160" s="1"/>
      <c r="EL160" s="15"/>
      <c r="EM160" s="1"/>
      <c r="EN160" s="1"/>
      <c r="EP160" s="1"/>
      <c r="EQ160" s="1"/>
      <c r="ER160" s="1"/>
      <c r="ES160" s="1"/>
      <c r="ET160" s="1"/>
      <c r="EV160" s="1"/>
      <c r="EW160" s="1"/>
      <c r="EY160" s="1"/>
      <c r="EZ160" s="1"/>
      <c r="FB160" s="1"/>
      <c r="FC160" s="1"/>
    </row>
    <row r="161" spans="1:159" ht="15.75" customHeight="1" x14ac:dyDescent="0.3">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EA161" s="1"/>
      <c r="EB161" s="1"/>
      <c r="ED161" s="1"/>
      <c r="EE161" s="1"/>
      <c r="EG161" s="1"/>
      <c r="EH161" s="1"/>
      <c r="EL161" s="15"/>
      <c r="EM161" s="1"/>
      <c r="EN161" s="1"/>
      <c r="EP161" s="1"/>
      <c r="EQ161" s="1"/>
      <c r="ER161" s="1"/>
      <c r="ES161" s="1"/>
      <c r="ET161" s="1"/>
      <c r="EV161" s="1"/>
      <c r="EW161" s="1"/>
      <c r="EY161" s="1"/>
      <c r="EZ161" s="1"/>
      <c r="FB161" s="1"/>
      <c r="FC161" s="1"/>
    </row>
    <row r="162" spans="1:159" ht="15.75" customHeight="1" x14ac:dyDescent="0.3">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EA162" s="1"/>
      <c r="EB162" s="1"/>
      <c r="ED162" s="1"/>
      <c r="EE162" s="1"/>
      <c r="EG162" s="1"/>
      <c r="EH162" s="1"/>
      <c r="EL162" s="15"/>
      <c r="EM162" s="1"/>
      <c r="EN162" s="1"/>
      <c r="EP162" s="1"/>
      <c r="EQ162" s="1"/>
      <c r="ER162" s="1"/>
      <c r="ES162" s="1"/>
      <c r="ET162" s="1"/>
      <c r="EV162" s="1"/>
      <c r="EW162" s="1"/>
      <c r="EY162" s="1"/>
      <c r="EZ162" s="1"/>
      <c r="FB162" s="1"/>
      <c r="FC162" s="1"/>
    </row>
    <row r="163" spans="1:159" ht="15.75" customHeight="1" x14ac:dyDescent="0.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EA163" s="1"/>
      <c r="EB163" s="1"/>
      <c r="ED163" s="1"/>
      <c r="EE163" s="1"/>
      <c r="EG163" s="1"/>
      <c r="EH163" s="1"/>
      <c r="EL163" s="15"/>
      <c r="EM163" s="1"/>
      <c r="EN163" s="1"/>
      <c r="EP163" s="1"/>
      <c r="EQ163" s="1"/>
      <c r="ER163" s="1"/>
      <c r="ES163" s="1"/>
      <c r="ET163" s="1"/>
      <c r="EV163" s="1"/>
      <c r="EW163" s="1"/>
      <c r="EY163" s="1"/>
      <c r="EZ163" s="1"/>
      <c r="FB163" s="1"/>
      <c r="FC163" s="1"/>
    </row>
    <row r="164" spans="1:159" ht="15.75" customHeight="1" x14ac:dyDescent="0.3">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EA164" s="1"/>
      <c r="EB164" s="1"/>
      <c r="ED164" s="1"/>
      <c r="EE164" s="1"/>
      <c r="EG164" s="1"/>
      <c r="EH164" s="1"/>
      <c r="EL164" s="15"/>
      <c r="EM164" s="1"/>
      <c r="EN164" s="1"/>
      <c r="EP164" s="1"/>
      <c r="EQ164" s="1"/>
      <c r="ER164" s="1"/>
      <c r="ES164" s="1"/>
      <c r="ET164" s="1"/>
      <c r="EV164" s="1"/>
      <c r="EW164" s="1"/>
      <c r="EY164" s="1"/>
      <c r="EZ164" s="1"/>
      <c r="FB164" s="1"/>
      <c r="FC164" s="1"/>
    </row>
    <row r="165" spans="1:159" ht="15.75" customHeight="1" x14ac:dyDescent="0.3">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EA165" s="1"/>
      <c r="EB165" s="1"/>
      <c r="ED165" s="1"/>
      <c r="EE165" s="1"/>
      <c r="EG165" s="1"/>
      <c r="EH165" s="1"/>
      <c r="EL165" s="15"/>
      <c r="EM165" s="1"/>
      <c r="EN165" s="1"/>
      <c r="EP165" s="1"/>
      <c r="EQ165" s="1"/>
      <c r="ER165" s="1"/>
      <c r="ES165" s="1"/>
      <c r="ET165" s="1"/>
      <c r="EV165" s="1"/>
      <c r="EW165" s="1"/>
      <c r="EY165" s="1"/>
      <c r="EZ165" s="1"/>
      <c r="FB165" s="1"/>
      <c r="FC165" s="1"/>
    </row>
    <row r="166" spans="1:159" ht="15.75" customHeight="1" x14ac:dyDescent="0.3">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EA166" s="1"/>
      <c r="EB166" s="1"/>
      <c r="ED166" s="1"/>
      <c r="EE166" s="1"/>
      <c r="EG166" s="1"/>
      <c r="EH166" s="1"/>
      <c r="EL166" s="15"/>
      <c r="EM166" s="1"/>
      <c r="EN166" s="1"/>
      <c r="EP166" s="1"/>
      <c r="EQ166" s="1"/>
      <c r="ER166" s="1"/>
      <c r="ES166" s="1"/>
      <c r="ET166" s="1"/>
      <c r="EV166" s="1"/>
      <c r="EW166" s="1"/>
      <c r="EY166" s="1"/>
      <c r="EZ166" s="1"/>
      <c r="FB166" s="1"/>
      <c r="FC166" s="1"/>
    </row>
    <row r="167" spans="1:159" ht="15.75" customHeight="1" x14ac:dyDescent="0.3">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EA167" s="1"/>
      <c r="EB167" s="1"/>
      <c r="ED167" s="1"/>
      <c r="EE167" s="1"/>
      <c r="EG167" s="1"/>
      <c r="EH167" s="1"/>
      <c r="EL167" s="15"/>
      <c r="EM167" s="1"/>
      <c r="EN167" s="1"/>
      <c r="EP167" s="1"/>
      <c r="EQ167" s="1"/>
      <c r="ER167" s="1"/>
      <c r="ES167" s="1"/>
      <c r="ET167" s="1"/>
      <c r="EV167" s="1"/>
      <c r="EW167" s="1"/>
      <c r="EY167" s="1"/>
      <c r="EZ167" s="1"/>
      <c r="FB167" s="1"/>
      <c r="FC167" s="1"/>
    </row>
    <row r="168" spans="1:159" ht="15.75" customHeight="1" x14ac:dyDescent="0.3">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EA168" s="1"/>
      <c r="EB168" s="1"/>
      <c r="ED168" s="1"/>
      <c r="EE168" s="1"/>
      <c r="EG168" s="1"/>
      <c r="EH168" s="1"/>
      <c r="EL168" s="15"/>
      <c r="EM168" s="1"/>
      <c r="EN168" s="1"/>
      <c r="EP168" s="1"/>
      <c r="EQ168" s="1"/>
      <c r="ER168" s="1"/>
      <c r="ES168" s="1"/>
      <c r="ET168" s="1"/>
      <c r="EV168" s="1"/>
      <c r="EW168" s="1"/>
      <c r="EY168" s="1"/>
      <c r="EZ168" s="1"/>
      <c r="FB168" s="1"/>
      <c r="FC168" s="1"/>
    </row>
    <row r="169" spans="1:159" ht="15.75" customHeight="1" x14ac:dyDescent="0.3">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EA169" s="1"/>
      <c r="EB169" s="1"/>
      <c r="ED169" s="1"/>
      <c r="EE169" s="1"/>
      <c r="EG169" s="1"/>
      <c r="EH169" s="1"/>
      <c r="EL169" s="15"/>
      <c r="EM169" s="1"/>
      <c r="EN169" s="1"/>
      <c r="EP169" s="1"/>
      <c r="EQ169" s="1"/>
      <c r="ER169" s="1"/>
      <c r="ES169" s="1"/>
      <c r="ET169" s="1"/>
      <c r="EV169" s="1"/>
      <c r="EW169" s="1"/>
      <c r="EY169" s="1"/>
      <c r="EZ169" s="1"/>
      <c r="FB169" s="1"/>
      <c r="FC169" s="1"/>
    </row>
    <row r="170" spans="1:159" ht="15.75" customHeight="1" x14ac:dyDescent="0.3">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EA170" s="1"/>
      <c r="EB170" s="1"/>
      <c r="ED170" s="1"/>
      <c r="EE170" s="1"/>
      <c r="EG170" s="1"/>
      <c r="EH170" s="1"/>
      <c r="EL170" s="15"/>
      <c r="EM170" s="1"/>
      <c r="EN170" s="1"/>
      <c r="EP170" s="1"/>
      <c r="EQ170" s="1"/>
      <c r="ER170" s="1"/>
      <c r="ES170" s="1"/>
      <c r="ET170" s="1"/>
      <c r="EV170" s="1"/>
      <c r="EW170" s="1"/>
      <c r="EY170" s="1"/>
      <c r="EZ170" s="1"/>
      <c r="FB170" s="1"/>
      <c r="FC170" s="1"/>
    </row>
    <row r="171" spans="1:159" ht="15.75" customHeight="1" x14ac:dyDescent="0.3">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EA171" s="1"/>
      <c r="EB171" s="1"/>
      <c r="ED171" s="1"/>
      <c r="EE171" s="1"/>
      <c r="EG171" s="1"/>
      <c r="EH171" s="1"/>
      <c r="EL171" s="15"/>
      <c r="EM171" s="1"/>
      <c r="EN171" s="1"/>
      <c r="EP171" s="1"/>
      <c r="EQ171" s="1"/>
      <c r="ER171" s="1"/>
      <c r="ES171" s="1"/>
      <c r="ET171" s="1"/>
      <c r="EV171" s="1"/>
      <c r="EW171" s="1"/>
      <c r="EY171" s="1"/>
      <c r="EZ171" s="1"/>
      <c r="FB171" s="1"/>
      <c r="FC171" s="1"/>
    </row>
    <row r="172" spans="1:159" ht="15.75" customHeight="1"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EA172" s="1"/>
      <c r="EB172" s="1"/>
      <c r="ED172" s="1"/>
      <c r="EE172" s="1"/>
      <c r="EG172" s="1"/>
      <c r="EH172" s="1"/>
      <c r="EL172" s="15"/>
      <c r="EM172" s="1"/>
      <c r="EN172" s="1"/>
      <c r="EP172" s="1"/>
      <c r="EQ172" s="1"/>
      <c r="ER172" s="1"/>
      <c r="ES172" s="1"/>
      <c r="ET172" s="1"/>
      <c r="EV172" s="1"/>
      <c r="EW172" s="1"/>
      <c r="EY172" s="1"/>
      <c r="EZ172" s="1"/>
      <c r="FB172" s="1"/>
      <c r="FC172" s="1"/>
    </row>
    <row r="173" spans="1:159" ht="15.75" customHeight="1"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EA173" s="1"/>
      <c r="EB173" s="1"/>
      <c r="ED173" s="1"/>
      <c r="EE173" s="1"/>
      <c r="EG173" s="1"/>
      <c r="EH173" s="1"/>
      <c r="EL173" s="15"/>
      <c r="EM173" s="1"/>
      <c r="EN173" s="1"/>
      <c r="EP173" s="1"/>
      <c r="EQ173" s="1"/>
      <c r="ER173" s="1"/>
      <c r="ES173" s="1"/>
      <c r="ET173" s="1"/>
      <c r="EV173" s="1"/>
      <c r="EW173" s="1"/>
      <c r="EY173" s="1"/>
      <c r="EZ173" s="1"/>
      <c r="FB173" s="1"/>
      <c r="FC173" s="1"/>
    </row>
    <row r="174" spans="1:159" ht="15.75" customHeight="1"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EA174" s="1"/>
      <c r="EB174" s="1"/>
      <c r="ED174" s="1"/>
      <c r="EE174" s="1"/>
      <c r="EG174" s="1"/>
      <c r="EH174" s="1"/>
      <c r="EL174" s="15"/>
      <c r="EM174" s="1"/>
      <c r="EN174" s="1"/>
      <c r="EP174" s="1"/>
      <c r="EQ174" s="1"/>
      <c r="ER174" s="1"/>
      <c r="ES174" s="1"/>
      <c r="ET174" s="1"/>
      <c r="EV174" s="1"/>
      <c r="EW174" s="1"/>
      <c r="EY174" s="1"/>
      <c r="EZ174" s="1"/>
      <c r="FB174" s="1"/>
      <c r="FC174" s="1"/>
    </row>
    <row r="175" spans="1:159" ht="15.75" customHeight="1"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EA175" s="1"/>
      <c r="EB175" s="1"/>
      <c r="ED175" s="1"/>
      <c r="EE175" s="1"/>
      <c r="EG175" s="1"/>
      <c r="EH175" s="1"/>
      <c r="EL175" s="15"/>
      <c r="EM175" s="1"/>
      <c r="EN175" s="1"/>
      <c r="EP175" s="1"/>
      <c r="EQ175" s="1"/>
      <c r="ER175" s="1"/>
      <c r="ES175" s="1"/>
      <c r="ET175" s="1"/>
      <c r="EV175" s="1"/>
      <c r="EW175" s="1"/>
      <c r="EY175" s="1"/>
      <c r="EZ175" s="1"/>
      <c r="FB175" s="1"/>
      <c r="FC175" s="1"/>
    </row>
    <row r="176" spans="1:159" ht="15.75" customHeight="1"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EA176" s="1"/>
      <c r="EB176" s="1"/>
      <c r="ED176" s="1"/>
      <c r="EE176" s="1"/>
      <c r="EG176" s="1"/>
      <c r="EH176" s="1"/>
      <c r="EL176" s="15"/>
      <c r="EM176" s="1"/>
      <c r="EN176" s="1"/>
      <c r="EP176" s="1"/>
      <c r="EQ176" s="1"/>
      <c r="ER176" s="1"/>
      <c r="ES176" s="1"/>
      <c r="ET176" s="1"/>
      <c r="EV176" s="1"/>
      <c r="EW176" s="1"/>
      <c r="EY176" s="1"/>
      <c r="EZ176" s="1"/>
      <c r="FB176" s="1"/>
      <c r="FC176" s="1"/>
    </row>
    <row r="177" spans="1:159" ht="15.75" customHeight="1"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EA177" s="1"/>
      <c r="EB177" s="1"/>
      <c r="ED177" s="1"/>
      <c r="EE177" s="1"/>
      <c r="EG177" s="1"/>
      <c r="EH177" s="1"/>
      <c r="EL177" s="15"/>
      <c r="EM177" s="1"/>
      <c r="EN177" s="1"/>
      <c r="EP177" s="1"/>
      <c r="EQ177" s="1"/>
      <c r="ER177" s="1"/>
      <c r="ES177" s="1"/>
      <c r="ET177" s="1"/>
      <c r="EV177" s="1"/>
      <c r="EW177" s="1"/>
      <c r="EY177" s="1"/>
      <c r="EZ177" s="1"/>
      <c r="FB177" s="1"/>
      <c r="FC177" s="1"/>
    </row>
    <row r="178" spans="1:159" ht="15.75" customHeight="1"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EA178" s="1"/>
      <c r="EB178" s="1"/>
      <c r="ED178" s="1"/>
      <c r="EE178" s="1"/>
      <c r="EG178" s="1"/>
      <c r="EH178" s="1"/>
      <c r="EL178" s="15"/>
      <c r="EM178" s="1"/>
      <c r="EN178" s="1"/>
      <c r="EP178" s="1"/>
      <c r="EQ178" s="1"/>
      <c r="ER178" s="1"/>
      <c r="ES178" s="1"/>
      <c r="ET178" s="1"/>
      <c r="EV178" s="1"/>
      <c r="EW178" s="1"/>
      <c r="EY178" s="1"/>
      <c r="EZ178" s="1"/>
      <c r="FB178" s="1"/>
      <c r="FC178" s="1"/>
    </row>
    <row r="179" spans="1:159" ht="15.75" customHeight="1"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EA179" s="1"/>
      <c r="EB179" s="1"/>
      <c r="ED179" s="1"/>
      <c r="EE179" s="1"/>
      <c r="EG179" s="1"/>
      <c r="EH179" s="1"/>
      <c r="EL179" s="15"/>
      <c r="EM179" s="1"/>
      <c r="EN179" s="1"/>
      <c r="EP179" s="1"/>
      <c r="EQ179" s="1"/>
      <c r="ER179" s="1"/>
      <c r="ES179" s="1"/>
      <c r="ET179" s="1"/>
      <c r="EV179" s="1"/>
      <c r="EW179" s="1"/>
      <c r="EY179" s="1"/>
      <c r="EZ179" s="1"/>
      <c r="FB179" s="1"/>
      <c r="FC179" s="1"/>
    </row>
    <row r="180" spans="1:159" ht="15.75" customHeight="1"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EA180" s="1"/>
      <c r="EB180" s="1"/>
      <c r="ED180" s="1"/>
      <c r="EE180" s="1"/>
      <c r="EG180" s="1"/>
      <c r="EH180" s="1"/>
      <c r="EL180" s="15"/>
      <c r="EM180" s="1"/>
      <c r="EN180" s="1"/>
      <c r="EP180" s="1"/>
      <c r="EQ180" s="1"/>
      <c r="ER180" s="1"/>
      <c r="ES180" s="1"/>
      <c r="ET180" s="1"/>
      <c r="EV180" s="1"/>
      <c r="EW180" s="1"/>
      <c r="EY180" s="1"/>
      <c r="EZ180" s="1"/>
      <c r="FB180" s="1"/>
      <c r="FC180" s="1"/>
    </row>
    <row r="181" spans="1:159" ht="15.75" customHeight="1"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EA181" s="1"/>
      <c r="EB181" s="1"/>
      <c r="ED181" s="1"/>
      <c r="EE181" s="1"/>
      <c r="EG181" s="1"/>
      <c r="EH181" s="1"/>
      <c r="EL181" s="15"/>
      <c r="EM181" s="1"/>
      <c r="EN181" s="1"/>
      <c r="EP181" s="1"/>
      <c r="EQ181" s="1"/>
      <c r="ER181" s="1"/>
      <c r="ES181" s="1"/>
      <c r="ET181" s="1"/>
      <c r="EV181" s="1"/>
      <c r="EW181" s="1"/>
      <c r="EY181" s="1"/>
      <c r="EZ181" s="1"/>
      <c r="FB181" s="1"/>
      <c r="FC181" s="1"/>
    </row>
    <row r="182" spans="1:159" ht="15.75" customHeight="1"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EA182" s="1"/>
      <c r="EB182" s="1"/>
      <c r="ED182" s="1"/>
      <c r="EE182" s="1"/>
      <c r="EG182" s="1"/>
      <c r="EH182" s="1"/>
      <c r="EL182" s="15"/>
      <c r="EM182" s="1"/>
      <c r="EN182" s="1"/>
      <c r="EP182" s="1"/>
      <c r="EQ182" s="1"/>
      <c r="ER182" s="1"/>
      <c r="ES182" s="1"/>
      <c r="ET182" s="1"/>
      <c r="EV182" s="1"/>
      <c r="EW182" s="1"/>
      <c r="EY182" s="1"/>
      <c r="EZ182" s="1"/>
      <c r="FB182" s="1"/>
      <c r="FC182" s="1"/>
    </row>
    <row r="183" spans="1:159" ht="15.75" customHeight="1"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EA183" s="1"/>
      <c r="EB183" s="1"/>
      <c r="ED183" s="1"/>
      <c r="EE183" s="1"/>
      <c r="EG183" s="1"/>
      <c r="EH183" s="1"/>
      <c r="EL183" s="15"/>
      <c r="EM183" s="1"/>
      <c r="EN183" s="1"/>
      <c r="EP183" s="1"/>
      <c r="EQ183" s="1"/>
      <c r="ER183" s="1"/>
      <c r="ES183" s="1"/>
      <c r="ET183" s="1"/>
      <c r="EV183" s="1"/>
      <c r="EW183" s="1"/>
      <c r="EY183" s="1"/>
      <c r="EZ183" s="1"/>
      <c r="FB183" s="1"/>
      <c r="FC183" s="1"/>
    </row>
    <row r="184" spans="1:159" ht="15.75" customHeight="1"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EA184" s="1"/>
      <c r="EB184" s="1"/>
      <c r="ED184" s="1"/>
      <c r="EE184" s="1"/>
      <c r="EG184" s="1"/>
      <c r="EH184" s="1"/>
      <c r="EL184" s="15"/>
      <c r="EM184" s="1"/>
      <c r="EN184" s="1"/>
      <c r="EP184" s="1"/>
      <c r="EQ184" s="1"/>
      <c r="ER184" s="1"/>
      <c r="ES184" s="1"/>
      <c r="ET184" s="1"/>
      <c r="EV184" s="1"/>
      <c r="EW184" s="1"/>
      <c r="EY184" s="1"/>
      <c r="EZ184" s="1"/>
      <c r="FB184" s="1"/>
      <c r="FC184" s="1"/>
    </row>
    <row r="185" spans="1:159" ht="15.75" customHeight="1"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EA185" s="1"/>
      <c r="EB185" s="1"/>
      <c r="ED185" s="1"/>
      <c r="EE185" s="1"/>
      <c r="EG185" s="1"/>
      <c r="EH185" s="1"/>
      <c r="EL185" s="15"/>
      <c r="EM185" s="1"/>
      <c r="EN185" s="1"/>
      <c r="EP185" s="1"/>
      <c r="EQ185" s="1"/>
      <c r="ER185" s="1"/>
      <c r="ES185" s="1"/>
      <c r="ET185" s="1"/>
      <c r="EV185" s="1"/>
      <c r="EW185" s="1"/>
      <c r="EY185" s="1"/>
      <c r="EZ185" s="1"/>
      <c r="FB185" s="1"/>
      <c r="FC185" s="1"/>
    </row>
    <row r="186" spans="1:159" ht="15.75" customHeight="1"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EA186" s="1"/>
      <c r="EB186" s="1"/>
      <c r="ED186" s="1"/>
      <c r="EE186" s="1"/>
      <c r="EG186" s="1"/>
      <c r="EH186" s="1"/>
      <c r="EL186" s="15"/>
      <c r="EM186" s="1"/>
      <c r="EN186" s="1"/>
      <c r="EP186" s="1"/>
      <c r="EQ186" s="1"/>
      <c r="ER186" s="1"/>
      <c r="ES186" s="1"/>
      <c r="ET186" s="1"/>
      <c r="EV186" s="1"/>
      <c r="EW186" s="1"/>
      <c r="EY186" s="1"/>
      <c r="EZ186" s="1"/>
      <c r="FB186" s="1"/>
      <c r="FC186" s="1"/>
    </row>
    <row r="187" spans="1:159" ht="15.75" customHeight="1"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EA187" s="1"/>
      <c r="EB187" s="1"/>
      <c r="ED187" s="1"/>
      <c r="EE187" s="1"/>
      <c r="EG187" s="1"/>
      <c r="EH187" s="1"/>
      <c r="EL187" s="15"/>
      <c r="EM187" s="1"/>
      <c r="EN187" s="1"/>
      <c r="EP187" s="1"/>
      <c r="EQ187" s="1"/>
      <c r="ER187" s="1"/>
      <c r="ES187" s="1"/>
      <c r="ET187" s="1"/>
      <c r="EV187" s="1"/>
      <c r="EW187" s="1"/>
      <c r="EY187" s="1"/>
      <c r="EZ187" s="1"/>
      <c r="FB187" s="1"/>
      <c r="FC187" s="1"/>
    </row>
    <row r="188" spans="1:159" ht="15.75" customHeight="1"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EA188" s="1"/>
      <c r="EB188" s="1"/>
      <c r="ED188" s="1"/>
      <c r="EE188" s="1"/>
      <c r="EG188" s="1"/>
      <c r="EH188" s="1"/>
      <c r="EL188" s="15"/>
      <c r="EM188" s="1"/>
      <c r="EN188" s="1"/>
      <c r="EP188" s="1"/>
      <c r="EQ188" s="1"/>
      <c r="ER188" s="1"/>
      <c r="ES188" s="1"/>
      <c r="ET188" s="1"/>
      <c r="EV188" s="1"/>
      <c r="EW188" s="1"/>
      <c r="EY188" s="1"/>
      <c r="EZ188" s="1"/>
      <c r="FB188" s="1"/>
      <c r="FC188" s="1"/>
    </row>
    <row r="189" spans="1:159" ht="15.75" customHeight="1"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EA189" s="1"/>
      <c r="EB189" s="1"/>
      <c r="ED189" s="1"/>
      <c r="EE189" s="1"/>
      <c r="EG189" s="1"/>
      <c r="EH189" s="1"/>
      <c r="EL189" s="15"/>
      <c r="EM189" s="1"/>
      <c r="EN189" s="1"/>
      <c r="EP189" s="1"/>
      <c r="EQ189" s="1"/>
      <c r="ER189" s="1"/>
      <c r="ES189" s="1"/>
      <c r="ET189" s="1"/>
      <c r="EV189" s="1"/>
      <c r="EW189" s="1"/>
      <c r="EY189" s="1"/>
      <c r="EZ189" s="1"/>
      <c r="FB189" s="1"/>
      <c r="FC189" s="1"/>
    </row>
    <row r="190" spans="1:159" ht="15.75" customHeight="1"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EA190" s="1"/>
      <c r="EB190" s="1"/>
      <c r="ED190" s="1"/>
      <c r="EE190" s="1"/>
      <c r="EG190" s="1"/>
      <c r="EH190" s="1"/>
      <c r="EL190" s="15"/>
      <c r="EM190" s="1"/>
      <c r="EN190" s="1"/>
      <c r="EP190" s="1"/>
      <c r="EQ190" s="1"/>
      <c r="ER190" s="1"/>
      <c r="ES190" s="1"/>
      <c r="ET190" s="1"/>
      <c r="EV190" s="1"/>
      <c r="EW190" s="1"/>
      <c r="EY190" s="1"/>
      <c r="EZ190" s="1"/>
      <c r="FB190" s="1"/>
      <c r="FC190" s="1"/>
    </row>
    <row r="191" spans="1:159" ht="15.75" customHeight="1"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EA191" s="1"/>
      <c r="EB191" s="1"/>
      <c r="ED191" s="1"/>
      <c r="EE191" s="1"/>
      <c r="EG191" s="1"/>
      <c r="EH191" s="1"/>
      <c r="EL191" s="15"/>
      <c r="EM191" s="1"/>
      <c r="EN191" s="1"/>
      <c r="EP191" s="1"/>
      <c r="EQ191" s="1"/>
      <c r="ER191" s="1"/>
      <c r="ES191" s="1"/>
      <c r="ET191" s="1"/>
      <c r="EV191" s="1"/>
      <c r="EW191" s="1"/>
      <c r="EY191" s="1"/>
      <c r="EZ191" s="1"/>
      <c r="FB191" s="1"/>
      <c r="FC191" s="1"/>
    </row>
    <row r="192" spans="1:159" ht="15.75" customHeight="1"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EA192" s="1"/>
      <c r="EB192" s="1"/>
      <c r="ED192" s="1"/>
      <c r="EE192" s="1"/>
      <c r="EG192" s="1"/>
      <c r="EH192" s="1"/>
      <c r="EL192" s="15"/>
      <c r="EM192" s="1"/>
      <c r="EN192" s="1"/>
      <c r="EP192" s="1"/>
      <c r="EQ192" s="1"/>
      <c r="ER192" s="1"/>
      <c r="ES192" s="1"/>
      <c r="ET192" s="1"/>
      <c r="EV192" s="1"/>
      <c r="EW192" s="1"/>
      <c r="EY192" s="1"/>
      <c r="EZ192" s="1"/>
      <c r="FB192" s="1"/>
      <c r="FC192" s="1"/>
    </row>
    <row r="193" spans="1:159" ht="15.75" customHeight="1"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EA193" s="1"/>
      <c r="EB193" s="1"/>
      <c r="ED193" s="1"/>
      <c r="EE193" s="1"/>
      <c r="EG193" s="1"/>
      <c r="EH193" s="1"/>
      <c r="EL193" s="15"/>
      <c r="EM193" s="1"/>
      <c r="EN193" s="1"/>
      <c r="EP193" s="1"/>
      <c r="EQ193" s="1"/>
      <c r="ER193" s="1"/>
      <c r="ES193" s="1"/>
      <c r="ET193" s="1"/>
      <c r="EV193" s="1"/>
      <c r="EW193" s="1"/>
      <c r="EY193" s="1"/>
      <c r="EZ193" s="1"/>
      <c r="FB193" s="1"/>
      <c r="FC193" s="1"/>
    </row>
    <row r="194" spans="1:159" ht="15.75" customHeight="1"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EA194" s="1"/>
      <c r="EB194" s="1"/>
      <c r="ED194" s="1"/>
      <c r="EE194" s="1"/>
      <c r="EG194" s="1"/>
      <c r="EH194" s="1"/>
      <c r="EL194" s="15"/>
      <c r="EM194" s="1"/>
      <c r="EN194" s="1"/>
      <c r="EP194" s="1"/>
      <c r="EQ194" s="1"/>
      <c r="ER194" s="1"/>
      <c r="ES194" s="1"/>
      <c r="ET194" s="1"/>
      <c r="EV194" s="1"/>
      <c r="EW194" s="1"/>
      <c r="EY194" s="1"/>
      <c r="EZ194" s="1"/>
      <c r="FB194" s="1"/>
      <c r="FC194" s="1"/>
    </row>
    <row r="195" spans="1:159" ht="15.75" customHeight="1"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EA195" s="1"/>
      <c r="EB195" s="1"/>
      <c r="ED195" s="1"/>
      <c r="EE195" s="1"/>
      <c r="EG195" s="1"/>
      <c r="EH195" s="1"/>
      <c r="EL195" s="15"/>
      <c r="EM195" s="1"/>
      <c r="EN195" s="1"/>
      <c r="EP195" s="1"/>
      <c r="EQ195" s="1"/>
      <c r="ER195" s="1"/>
      <c r="ES195" s="1"/>
      <c r="ET195" s="1"/>
      <c r="EV195" s="1"/>
      <c r="EW195" s="1"/>
      <c r="EY195" s="1"/>
      <c r="EZ195" s="1"/>
      <c r="FB195" s="1"/>
      <c r="FC195" s="1"/>
    </row>
    <row r="196" spans="1:159" ht="15.75" customHeight="1"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EA196" s="1"/>
      <c r="EB196" s="1"/>
      <c r="ED196" s="1"/>
      <c r="EE196" s="1"/>
      <c r="EG196" s="1"/>
      <c r="EH196" s="1"/>
      <c r="EL196" s="15"/>
      <c r="EM196" s="1"/>
      <c r="EN196" s="1"/>
      <c r="EP196" s="1"/>
      <c r="EQ196" s="1"/>
      <c r="ER196" s="1"/>
      <c r="ES196" s="1"/>
      <c r="ET196" s="1"/>
      <c r="EV196" s="1"/>
      <c r="EW196" s="1"/>
      <c r="EY196" s="1"/>
      <c r="EZ196" s="1"/>
      <c r="FB196" s="1"/>
      <c r="FC196" s="1"/>
    </row>
    <row r="197" spans="1:159" ht="15.75" customHeight="1"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EA197" s="1"/>
      <c r="EB197" s="1"/>
      <c r="ED197" s="1"/>
      <c r="EE197" s="1"/>
      <c r="EG197" s="1"/>
      <c r="EH197" s="1"/>
      <c r="EL197" s="15"/>
      <c r="EM197" s="1"/>
      <c r="EN197" s="1"/>
      <c r="EP197" s="1"/>
      <c r="EQ197" s="1"/>
      <c r="ER197" s="1"/>
      <c r="ES197" s="1"/>
      <c r="ET197" s="1"/>
      <c r="EV197" s="1"/>
      <c r="EW197" s="1"/>
      <c r="EY197" s="1"/>
      <c r="EZ197" s="1"/>
      <c r="FB197" s="1"/>
      <c r="FC197" s="1"/>
    </row>
    <row r="198" spans="1:159" ht="15.75" customHeight="1"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EA198" s="1"/>
      <c r="EB198" s="1"/>
      <c r="ED198" s="1"/>
      <c r="EE198" s="1"/>
      <c r="EG198" s="1"/>
      <c r="EH198" s="1"/>
      <c r="EL198" s="15"/>
      <c r="EM198" s="1"/>
      <c r="EN198" s="1"/>
      <c r="EP198" s="1"/>
      <c r="EQ198" s="1"/>
      <c r="ER198" s="1"/>
      <c r="ES198" s="1"/>
      <c r="ET198" s="1"/>
      <c r="EV198" s="1"/>
      <c r="EW198" s="1"/>
      <c r="EY198" s="1"/>
      <c r="EZ198" s="1"/>
      <c r="FB198" s="1"/>
      <c r="FC198" s="1"/>
    </row>
    <row r="199" spans="1:159" ht="15.75" customHeight="1"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EA199" s="1"/>
      <c r="EB199" s="1"/>
      <c r="ED199" s="1"/>
      <c r="EE199" s="1"/>
      <c r="EG199" s="1"/>
      <c r="EH199" s="1"/>
      <c r="EL199" s="15"/>
      <c r="EM199" s="1"/>
      <c r="EN199" s="1"/>
      <c r="EP199" s="1"/>
      <c r="EQ199" s="1"/>
      <c r="ER199" s="1"/>
      <c r="ES199" s="1"/>
      <c r="ET199" s="1"/>
      <c r="EV199" s="1"/>
      <c r="EW199" s="1"/>
      <c r="EY199" s="1"/>
      <c r="EZ199" s="1"/>
      <c r="FB199" s="1"/>
      <c r="FC199" s="1"/>
    </row>
    <row r="200" spans="1:159" ht="15.75" customHeight="1"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EA200" s="1"/>
      <c r="EB200" s="1"/>
      <c r="ED200" s="1"/>
      <c r="EE200" s="1"/>
      <c r="EG200" s="1"/>
      <c r="EH200" s="1"/>
      <c r="EL200" s="15"/>
      <c r="EM200" s="1"/>
      <c r="EN200" s="1"/>
      <c r="EP200" s="1"/>
      <c r="EQ200" s="1"/>
      <c r="ER200" s="1"/>
      <c r="ES200" s="1"/>
      <c r="ET200" s="1"/>
      <c r="EV200" s="1"/>
      <c r="EW200" s="1"/>
      <c r="EY200" s="1"/>
      <c r="EZ200" s="1"/>
      <c r="FB200" s="1"/>
      <c r="FC200" s="1"/>
    </row>
    <row r="201" spans="1:159" ht="15.75" customHeight="1"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EA201" s="1"/>
      <c r="EB201" s="1"/>
      <c r="ED201" s="1"/>
      <c r="EE201" s="1"/>
      <c r="EG201" s="1"/>
      <c r="EH201" s="1"/>
      <c r="EL201" s="15"/>
      <c r="EM201" s="1"/>
      <c r="EN201" s="1"/>
      <c r="EP201" s="1"/>
      <c r="EQ201" s="1"/>
      <c r="ER201" s="1"/>
      <c r="ES201" s="1"/>
      <c r="ET201" s="1"/>
      <c r="EV201" s="1"/>
      <c r="EW201" s="1"/>
      <c r="EY201" s="1"/>
      <c r="EZ201" s="1"/>
      <c r="FB201" s="1"/>
      <c r="FC201" s="1"/>
    </row>
    <row r="202" spans="1:159" ht="15.75" customHeight="1"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EA202" s="1"/>
      <c r="EB202" s="1"/>
      <c r="ED202" s="1"/>
      <c r="EE202" s="1"/>
      <c r="EG202" s="1"/>
      <c r="EH202" s="1"/>
      <c r="EL202" s="15"/>
      <c r="EM202" s="1"/>
      <c r="EN202" s="1"/>
      <c r="EP202" s="1"/>
      <c r="EQ202" s="1"/>
      <c r="ER202" s="1"/>
      <c r="ES202" s="1"/>
      <c r="ET202" s="1"/>
      <c r="EV202" s="1"/>
      <c r="EW202" s="1"/>
      <c r="EY202" s="1"/>
      <c r="EZ202" s="1"/>
      <c r="FB202" s="1"/>
      <c r="FC202" s="1"/>
    </row>
    <row r="203" spans="1:159" ht="15.75" customHeight="1"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EA203" s="1"/>
      <c r="EB203" s="1"/>
      <c r="ED203" s="1"/>
      <c r="EE203" s="1"/>
      <c r="EG203" s="1"/>
      <c r="EH203" s="1"/>
      <c r="EL203" s="15"/>
      <c r="EM203" s="1"/>
      <c r="EN203" s="1"/>
      <c r="EP203" s="1"/>
      <c r="EQ203" s="1"/>
      <c r="ER203" s="1"/>
      <c r="ES203" s="1"/>
      <c r="ET203" s="1"/>
      <c r="EV203" s="1"/>
      <c r="EW203" s="1"/>
      <c r="EY203" s="1"/>
      <c r="EZ203" s="1"/>
      <c r="FB203" s="1"/>
      <c r="FC203" s="1"/>
    </row>
    <row r="204" spans="1:159" ht="15.75" customHeight="1"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EA204" s="1"/>
      <c r="EB204" s="1"/>
      <c r="ED204" s="1"/>
      <c r="EE204" s="1"/>
      <c r="EG204" s="1"/>
      <c r="EH204" s="1"/>
      <c r="EL204" s="15"/>
      <c r="EM204" s="1"/>
      <c r="EN204" s="1"/>
      <c r="EP204" s="1"/>
      <c r="EQ204" s="1"/>
      <c r="ER204" s="1"/>
      <c r="ES204" s="1"/>
      <c r="ET204" s="1"/>
      <c r="EV204" s="1"/>
      <c r="EW204" s="1"/>
      <c r="EY204" s="1"/>
      <c r="EZ204" s="1"/>
      <c r="FB204" s="1"/>
      <c r="FC204" s="1"/>
    </row>
    <row r="205" spans="1:159" ht="15.75" customHeight="1"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EA205" s="1"/>
      <c r="EB205" s="1"/>
      <c r="ED205" s="1"/>
      <c r="EE205" s="1"/>
      <c r="EG205" s="1"/>
      <c r="EH205" s="1"/>
      <c r="EL205" s="15"/>
      <c r="EM205" s="1"/>
      <c r="EN205" s="1"/>
      <c r="EP205" s="1"/>
      <c r="EQ205" s="1"/>
      <c r="ER205" s="1"/>
      <c r="ES205" s="1"/>
      <c r="ET205" s="1"/>
      <c r="EV205" s="1"/>
      <c r="EW205" s="1"/>
      <c r="EY205" s="1"/>
      <c r="EZ205" s="1"/>
      <c r="FB205" s="1"/>
      <c r="FC205" s="1"/>
    </row>
    <row r="206" spans="1:159" ht="15.75" customHeight="1"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EA206" s="1"/>
      <c r="EB206" s="1"/>
      <c r="ED206" s="1"/>
      <c r="EE206" s="1"/>
      <c r="EG206" s="1"/>
      <c r="EH206" s="1"/>
      <c r="EL206" s="15"/>
      <c r="EM206" s="1"/>
      <c r="EN206" s="1"/>
      <c r="EP206" s="1"/>
      <c r="EQ206" s="1"/>
      <c r="ER206" s="1"/>
      <c r="ES206" s="1"/>
      <c r="ET206" s="1"/>
      <c r="EV206" s="1"/>
      <c r="EW206" s="1"/>
      <c r="EY206" s="1"/>
      <c r="EZ206" s="1"/>
      <c r="FB206" s="1"/>
      <c r="FC206" s="1"/>
    </row>
    <row r="207" spans="1:159" ht="15.75" customHeight="1"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EA207" s="1"/>
      <c r="EB207" s="1"/>
      <c r="ED207" s="1"/>
      <c r="EE207" s="1"/>
      <c r="EG207" s="1"/>
      <c r="EH207" s="1"/>
      <c r="EL207" s="15"/>
      <c r="EM207" s="1"/>
      <c r="EN207" s="1"/>
      <c r="EP207" s="1"/>
      <c r="EQ207" s="1"/>
      <c r="ER207" s="1"/>
      <c r="ES207" s="1"/>
      <c r="ET207" s="1"/>
      <c r="EV207" s="1"/>
      <c r="EW207" s="1"/>
      <c r="EY207" s="1"/>
      <c r="EZ207" s="1"/>
      <c r="FB207" s="1"/>
      <c r="FC207" s="1"/>
    </row>
    <row r="208" spans="1:159" ht="15.75" customHeight="1"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EA208" s="1"/>
      <c r="EB208" s="1"/>
      <c r="ED208" s="1"/>
      <c r="EE208" s="1"/>
      <c r="EG208" s="1"/>
      <c r="EH208" s="1"/>
      <c r="EL208" s="15"/>
      <c r="EM208" s="1"/>
      <c r="EN208" s="1"/>
      <c r="EP208" s="1"/>
      <c r="EQ208" s="1"/>
      <c r="ER208" s="1"/>
      <c r="ES208" s="1"/>
      <c r="ET208" s="1"/>
      <c r="EV208" s="1"/>
      <c r="EW208" s="1"/>
      <c r="EY208" s="1"/>
      <c r="EZ208" s="1"/>
      <c r="FB208" s="1"/>
      <c r="FC208" s="1"/>
    </row>
    <row r="209" spans="1:159" ht="15.75" customHeight="1"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EA209" s="1"/>
      <c r="EB209" s="1"/>
      <c r="ED209" s="1"/>
      <c r="EE209" s="1"/>
      <c r="EG209" s="1"/>
      <c r="EH209" s="1"/>
      <c r="EL209" s="15"/>
      <c r="EM209" s="1"/>
      <c r="EN209" s="1"/>
      <c r="EP209" s="1"/>
      <c r="EQ209" s="1"/>
      <c r="ER209" s="1"/>
      <c r="ES209" s="1"/>
      <c r="ET209" s="1"/>
      <c r="EV209" s="1"/>
      <c r="EW209" s="1"/>
      <c r="EY209" s="1"/>
      <c r="EZ209" s="1"/>
      <c r="FB209" s="1"/>
      <c r="FC209" s="1"/>
    </row>
    <row r="210" spans="1:159" ht="15.75" customHeight="1"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EA210" s="1"/>
      <c r="EB210" s="1"/>
      <c r="ED210" s="1"/>
      <c r="EE210" s="1"/>
      <c r="EG210" s="1"/>
      <c r="EH210" s="1"/>
      <c r="EL210" s="15"/>
      <c r="EM210" s="1"/>
      <c r="EN210" s="1"/>
      <c r="EP210" s="1"/>
      <c r="EQ210" s="1"/>
      <c r="ER210" s="1"/>
      <c r="ES210" s="1"/>
      <c r="ET210" s="1"/>
      <c r="EV210" s="1"/>
      <c r="EW210" s="1"/>
      <c r="EY210" s="1"/>
      <c r="EZ210" s="1"/>
      <c r="FB210" s="1"/>
      <c r="FC210" s="1"/>
    </row>
    <row r="211" spans="1:159" ht="15.75" customHeight="1"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EA211" s="1"/>
      <c r="EB211" s="1"/>
      <c r="ED211" s="1"/>
      <c r="EE211" s="1"/>
      <c r="EG211" s="1"/>
      <c r="EH211" s="1"/>
      <c r="EL211" s="15"/>
      <c r="EM211" s="1"/>
      <c r="EN211" s="1"/>
      <c r="EP211" s="1"/>
      <c r="EQ211" s="1"/>
      <c r="ER211" s="1"/>
      <c r="ES211" s="1"/>
      <c r="ET211" s="1"/>
      <c r="EV211" s="1"/>
      <c r="EW211" s="1"/>
      <c r="EY211" s="1"/>
      <c r="EZ211" s="1"/>
      <c r="FB211" s="1"/>
      <c r="FC211" s="1"/>
    </row>
    <row r="212" spans="1:159" ht="15.75" customHeight="1"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EA212" s="1"/>
      <c r="EB212" s="1"/>
      <c r="ED212" s="1"/>
      <c r="EE212" s="1"/>
      <c r="EG212" s="1"/>
      <c r="EH212" s="1"/>
      <c r="EL212" s="15"/>
      <c r="EM212" s="1"/>
      <c r="EN212" s="1"/>
      <c r="EP212" s="1"/>
      <c r="EQ212" s="1"/>
      <c r="ER212" s="1"/>
      <c r="ES212" s="1"/>
      <c r="ET212" s="1"/>
      <c r="EV212" s="1"/>
      <c r="EW212" s="1"/>
      <c r="EY212" s="1"/>
      <c r="EZ212" s="1"/>
      <c r="FB212" s="1"/>
      <c r="FC212" s="1"/>
    </row>
    <row r="213" spans="1:159" ht="15.75" customHeight="1"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EA213" s="1"/>
      <c r="EB213" s="1"/>
      <c r="ED213" s="1"/>
      <c r="EE213" s="1"/>
      <c r="EG213" s="1"/>
      <c r="EH213" s="1"/>
      <c r="EL213" s="15"/>
      <c r="EM213" s="1"/>
      <c r="EN213" s="1"/>
      <c r="EP213" s="1"/>
      <c r="EQ213" s="1"/>
      <c r="ER213" s="1"/>
      <c r="ES213" s="1"/>
      <c r="ET213" s="1"/>
      <c r="EV213" s="1"/>
      <c r="EW213" s="1"/>
      <c r="EY213" s="1"/>
      <c r="EZ213" s="1"/>
      <c r="FB213" s="1"/>
      <c r="FC213" s="1"/>
    </row>
    <row r="214" spans="1:159" ht="15.75" customHeight="1"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EA214" s="1"/>
      <c r="EB214" s="1"/>
      <c r="ED214" s="1"/>
      <c r="EE214" s="1"/>
      <c r="EG214" s="1"/>
      <c r="EH214" s="1"/>
      <c r="EL214" s="15"/>
      <c r="EM214" s="1"/>
      <c r="EN214" s="1"/>
      <c r="EP214" s="1"/>
      <c r="EQ214" s="1"/>
      <c r="ER214" s="1"/>
      <c r="ES214" s="1"/>
      <c r="ET214" s="1"/>
      <c r="EV214" s="1"/>
      <c r="EW214" s="1"/>
      <c r="EY214" s="1"/>
      <c r="EZ214" s="1"/>
      <c r="FB214" s="1"/>
      <c r="FC214" s="1"/>
    </row>
    <row r="215" spans="1:159" ht="15.75" customHeight="1"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EA215" s="1"/>
      <c r="EB215" s="1"/>
      <c r="ED215" s="1"/>
      <c r="EE215" s="1"/>
      <c r="EG215" s="1"/>
      <c r="EH215" s="1"/>
      <c r="EL215" s="15"/>
      <c r="EM215" s="1"/>
      <c r="EN215" s="1"/>
      <c r="EP215" s="1"/>
      <c r="EQ215" s="1"/>
      <c r="ER215" s="1"/>
      <c r="ES215" s="1"/>
      <c r="ET215" s="1"/>
      <c r="EV215" s="1"/>
      <c r="EW215" s="1"/>
      <c r="EY215" s="1"/>
      <c r="EZ215" s="1"/>
      <c r="FB215" s="1"/>
      <c r="FC215" s="1"/>
    </row>
    <row r="216" spans="1:159" ht="15.75" customHeight="1"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EA216" s="1"/>
      <c r="EB216" s="1"/>
      <c r="ED216" s="1"/>
      <c r="EE216" s="1"/>
      <c r="EG216" s="1"/>
      <c r="EH216" s="1"/>
      <c r="EL216" s="15"/>
      <c r="EM216" s="1"/>
      <c r="EN216" s="1"/>
      <c r="EP216" s="1"/>
      <c r="EQ216" s="1"/>
      <c r="ER216" s="1"/>
      <c r="ES216" s="1"/>
      <c r="ET216" s="1"/>
      <c r="EV216" s="1"/>
      <c r="EW216" s="1"/>
      <c r="EY216" s="1"/>
      <c r="EZ216" s="1"/>
      <c r="FB216" s="1"/>
      <c r="FC216" s="1"/>
    </row>
    <row r="217" spans="1:159" ht="15.75" customHeight="1"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EA217" s="1"/>
      <c r="EB217" s="1"/>
      <c r="ED217" s="1"/>
      <c r="EE217" s="1"/>
      <c r="EG217" s="1"/>
      <c r="EH217" s="1"/>
      <c r="EL217" s="15"/>
      <c r="EM217" s="1"/>
      <c r="EN217" s="1"/>
      <c r="EP217" s="1"/>
      <c r="EQ217" s="1"/>
      <c r="ER217" s="1"/>
      <c r="ES217" s="1"/>
      <c r="ET217" s="1"/>
      <c r="EV217" s="1"/>
      <c r="EW217" s="1"/>
      <c r="EY217" s="1"/>
      <c r="EZ217" s="1"/>
      <c r="FB217" s="1"/>
      <c r="FC217" s="1"/>
    </row>
    <row r="218" spans="1:159" ht="15.75" customHeight="1"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EA218" s="1"/>
      <c r="EB218" s="1"/>
      <c r="ED218" s="1"/>
      <c r="EE218" s="1"/>
      <c r="EG218" s="1"/>
      <c r="EH218" s="1"/>
      <c r="EL218" s="15"/>
      <c r="EM218" s="1"/>
      <c r="EN218" s="1"/>
      <c r="EP218" s="1"/>
      <c r="EQ218" s="1"/>
      <c r="ER218" s="1"/>
      <c r="ES218" s="1"/>
      <c r="ET218" s="1"/>
      <c r="EV218" s="1"/>
      <c r="EW218" s="1"/>
      <c r="EY218" s="1"/>
      <c r="EZ218" s="1"/>
      <c r="FB218" s="1"/>
      <c r="FC218" s="1"/>
    </row>
    <row r="219" spans="1:159" ht="15.75" customHeight="1"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EA219" s="1"/>
      <c r="EB219" s="1"/>
      <c r="ED219" s="1"/>
      <c r="EE219" s="1"/>
      <c r="EG219" s="1"/>
      <c r="EH219" s="1"/>
      <c r="EL219" s="15"/>
      <c r="EM219" s="1"/>
      <c r="EN219" s="1"/>
      <c r="EP219" s="1"/>
      <c r="EQ219" s="1"/>
      <c r="ER219" s="1"/>
      <c r="ES219" s="1"/>
      <c r="ET219" s="1"/>
      <c r="EV219" s="1"/>
      <c r="EW219" s="1"/>
      <c r="EY219" s="1"/>
      <c r="EZ219" s="1"/>
      <c r="FB219" s="1"/>
      <c r="FC219" s="1"/>
    </row>
    <row r="220" spans="1:159" ht="15.75" customHeight="1"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EA220" s="1"/>
      <c r="EB220" s="1"/>
      <c r="ED220" s="1"/>
      <c r="EE220" s="1"/>
      <c r="EG220" s="1"/>
      <c r="EH220" s="1"/>
      <c r="EL220" s="15"/>
      <c r="EM220" s="1"/>
      <c r="EN220" s="1"/>
      <c r="EP220" s="1"/>
      <c r="EQ220" s="1"/>
      <c r="ER220" s="1"/>
      <c r="ES220" s="1"/>
      <c r="ET220" s="1"/>
      <c r="EV220" s="1"/>
      <c r="EW220" s="1"/>
      <c r="EY220" s="1"/>
      <c r="EZ220" s="1"/>
      <c r="FB220" s="1"/>
      <c r="FC220" s="1"/>
    </row>
    <row r="221" spans="1:159" ht="15.75" customHeight="1"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EA221" s="1"/>
      <c r="EB221" s="1"/>
      <c r="ED221" s="1"/>
      <c r="EE221" s="1"/>
      <c r="EG221" s="1"/>
      <c r="EH221" s="1"/>
      <c r="EL221" s="15"/>
      <c r="EM221" s="1"/>
      <c r="EN221" s="1"/>
      <c r="EP221" s="1"/>
      <c r="EQ221" s="1"/>
      <c r="ER221" s="1"/>
      <c r="ES221" s="1"/>
      <c r="ET221" s="1"/>
      <c r="EV221" s="1"/>
      <c r="EW221" s="1"/>
      <c r="EY221" s="1"/>
      <c r="EZ221" s="1"/>
      <c r="FB221" s="1"/>
      <c r="FC221" s="1"/>
    </row>
    <row r="222" spans="1:159" ht="15.75" customHeight="1"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EA222" s="1"/>
      <c r="EB222" s="1"/>
      <c r="ED222" s="1"/>
      <c r="EE222" s="1"/>
      <c r="EG222" s="1"/>
      <c r="EH222" s="1"/>
      <c r="EL222" s="15"/>
      <c r="EM222" s="1"/>
      <c r="EN222" s="1"/>
      <c r="EP222" s="1"/>
      <c r="EQ222" s="1"/>
      <c r="ER222" s="1"/>
      <c r="ES222" s="1"/>
      <c r="ET222" s="1"/>
      <c r="EV222" s="1"/>
      <c r="EW222" s="1"/>
      <c r="EY222" s="1"/>
      <c r="EZ222" s="1"/>
      <c r="FB222" s="1"/>
      <c r="FC222" s="1"/>
    </row>
    <row r="223" spans="1:159" ht="15.75" customHeight="1"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EA223" s="1"/>
      <c r="EB223" s="1"/>
      <c r="ED223" s="1"/>
      <c r="EE223" s="1"/>
      <c r="EG223" s="1"/>
      <c r="EH223" s="1"/>
      <c r="EL223" s="15"/>
      <c r="EM223" s="1"/>
      <c r="EN223" s="1"/>
      <c r="EP223" s="1"/>
      <c r="EQ223" s="1"/>
      <c r="ER223" s="1"/>
      <c r="ES223" s="1"/>
      <c r="ET223" s="1"/>
      <c r="EV223" s="1"/>
      <c r="EW223" s="1"/>
      <c r="EY223" s="1"/>
      <c r="EZ223" s="1"/>
      <c r="FB223" s="1"/>
      <c r="FC223" s="1"/>
    </row>
    <row r="224" spans="1:159" ht="15.75" customHeight="1"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EA224" s="1"/>
      <c r="EB224" s="1"/>
      <c r="ED224" s="1"/>
      <c r="EE224" s="1"/>
      <c r="EG224" s="1"/>
      <c r="EH224" s="1"/>
      <c r="EL224" s="15"/>
      <c r="EM224" s="1"/>
      <c r="EN224" s="1"/>
      <c r="EP224" s="1"/>
      <c r="EQ224" s="1"/>
      <c r="ER224" s="1"/>
      <c r="ES224" s="1"/>
      <c r="ET224" s="1"/>
      <c r="EV224" s="1"/>
      <c r="EW224" s="1"/>
      <c r="EY224" s="1"/>
      <c r="EZ224" s="1"/>
      <c r="FB224" s="1"/>
      <c r="FC224" s="1"/>
    </row>
    <row r="225" spans="1:159" ht="15.75" customHeight="1"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EA225" s="1"/>
      <c r="EB225" s="1"/>
      <c r="ED225" s="1"/>
      <c r="EE225" s="1"/>
      <c r="EG225" s="1"/>
      <c r="EH225" s="1"/>
      <c r="EL225" s="15"/>
      <c r="EM225" s="1"/>
      <c r="EN225" s="1"/>
      <c r="EP225" s="1"/>
      <c r="EQ225" s="1"/>
      <c r="ER225" s="1"/>
      <c r="ES225" s="1"/>
      <c r="ET225" s="1"/>
      <c r="EV225" s="1"/>
      <c r="EW225" s="1"/>
      <c r="EY225" s="1"/>
      <c r="EZ225" s="1"/>
      <c r="FB225" s="1"/>
      <c r="FC225" s="1"/>
    </row>
    <row r="226" spans="1:159" ht="15.75" customHeight="1"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EA226" s="1"/>
      <c r="EB226" s="1"/>
      <c r="ED226" s="1"/>
      <c r="EE226" s="1"/>
      <c r="EG226" s="1"/>
      <c r="EH226" s="1"/>
      <c r="EL226" s="15"/>
      <c r="EM226" s="1"/>
      <c r="EN226" s="1"/>
      <c r="EP226" s="1"/>
      <c r="EQ226" s="1"/>
      <c r="ER226" s="1"/>
      <c r="ES226" s="1"/>
      <c r="ET226" s="1"/>
      <c r="EV226" s="1"/>
      <c r="EW226" s="1"/>
      <c r="EY226" s="1"/>
      <c r="EZ226" s="1"/>
      <c r="FB226" s="1"/>
      <c r="FC226" s="1"/>
    </row>
    <row r="227" spans="1:159" ht="15.75" customHeight="1"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EA227" s="1"/>
      <c r="EB227" s="1"/>
      <c r="ED227" s="1"/>
      <c r="EE227" s="1"/>
      <c r="EG227" s="1"/>
      <c r="EH227" s="1"/>
      <c r="EL227" s="15"/>
      <c r="EM227" s="1"/>
      <c r="EN227" s="1"/>
      <c r="EP227" s="1"/>
      <c r="EQ227" s="1"/>
      <c r="ER227" s="1"/>
      <c r="ES227" s="1"/>
      <c r="ET227" s="1"/>
      <c r="EV227" s="1"/>
      <c r="EW227" s="1"/>
      <c r="EY227" s="1"/>
      <c r="EZ227" s="1"/>
      <c r="FB227" s="1"/>
      <c r="FC227" s="1"/>
    </row>
    <row r="228" spans="1:159" ht="15.75" customHeight="1"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EA228" s="1"/>
      <c r="EB228" s="1"/>
      <c r="ED228" s="1"/>
      <c r="EE228" s="1"/>
      <c r="EG228" s="1"/>
      <c r="EH228" s="1"/>
      <c r="EL228" s="15"/>
      <c r="EM228" s="1"/>
      <c r="EN228" s="1"/>
      <c r="EP228" s="1"/>
      <c r="EQ228" s="1"/>
      <c r="ER228" s="1"/>
      <c r="ES228" s="1"/>
      <c r="ET228" s="1"/>
      <c r="EV228" s="1"/>
      <c r="EW228" s="1"/>
      <c r="EY228" s="1"/>
      <c r="EZ228" s="1"/>
      <c r="FB228" s="1"/>
      <c r="FC228" s="1"/>
    </row>
    <row r="229" spans="1:159" ht="15.75" customHeight="1"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EA229" s="1"/>
      <c r="EB229" s="1"/>
      <c r="ED229" s="1"/>
      <c r="EE229" s="1"/>
      <c r="EG229" s="1"/>
      <c r="EH229" s="1"/>
      <c r="EL229" s="15"/>
      <c r="EM229" s="1"/>
      <c r="EN229" s="1"/>
      <c r="EP229" s="1"/>
      <c r="EQ229" s="1"/>
      <c r="ER229" s="1"/>
      <c r="ES229" s="1"/>
      <c r="ET229" s="1"/>
      <c r="EV229" s="1"/>
      <c r="EW229" s="1"/>
      <c r="EY229" s="1"/>
      <c r="EZ229" s="1"/>
      <c r="FB229" s="1"/>
      <c r="FC229" s="1"/>
    </row>
    <row r="230" spans="1:159" ht="15.75" customHeight="1"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EA230" s="1"/>
      <c r="EB230" s="1"/>
      <c r="ED230" s="1"/>
      <c r="EE230" s="1"/>
      <c r="EG230" s="1"/>
      <c r="EH230" s="1"/>
      <c r="EL230" s="15"/>
      <c r="EM230" s="1"/>
      <c r="EN230" s="1"/>
      <c r="EP230" s="1"/>
      <c r="EQ230" s="1"/>
      <c r="ER230" s="1"/>
      <c r="ES230" s="1"/>
      <c r="ET230" s="1"/>
      <c r="EV230" s="1"/>
      <c r="EW230" s="1"/>
      <c r="EY230" s="1"/>
      <c r="EZ230" s="1"/>
      <c r="FB230" s="1"/>
      <c r="FC230" s="1"/>
    </row>
    <row r="231" spans="1:159" ht="15.75" customHeight="1"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c r="DM231" s="16"/>
      <c r="DN231" s="16"/>
      <c r="DO231" s="16"/>
      <c r="DP231" s="16"/>
      <c r="EA231" s="1"/>
      <c r="EB231" s="1"/>
      <c r="ED231" s="1"/>
      <c r="EE231" s="1"/>
      <c r="EG231" s="1"/>
      <c r="EH231" s="1"/>
      <c r="EL231" s="15"/>
      <c r="EM231" s="1"/>
      <c r="EN231" s="1"/>
      <c r="EP231" s="1"/>
      <c r="EQ231" s="1"/>
      <c r="ER231" s="1"/>
      <c r="ES231" s="1"/>
      <c r="ET231" s="1"/>
      <c r="EV231" s="1"/>
      <c r="EW231" s="1"/>
      <c r="EY231" s="1"/>
      <c r="EZ231" s="1"/>
      <c r="FB231" s="1"/>
      <c r="FC231" s="1"/>
    </row>
    <row r="232" spans="1:159" ht="15.75" customHeight="1"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c r="DM232" s="16"/>
      <c r="DN232" s="16"/>
      <c r="DO232" s="16"/>
      <c r="DP232" s="16"/>
      <c r="EA232" s="1"/>
      <c r="EB232" s="1"/>
      <c r="ED232" s="1"/>
      <c r="EE232" s="1"/>
      <c r="EG232" s="1"/>
      <c r="EH232" s="1"/>
      <c r="EL232" s="15"/>
      <c r="EM232" s="1"/>
      <c r="EN232" s="1"/>
      <c r="EP232" s="1"/>
      <c r="EQ232" s="1"/>
      <c r="ER232" s="1"/>
      <c r="ES232" s="1"/>
      <c r="ET232" s="1"/>
      <c r="EV232" s="1"/>
      <c r="EW232" s="1"/>
      <c r="EY232" s="1"/>
      <c r="EZ232" s="1"/>
      <c r="FB232" s="1"/>
      <c r="FC232" s="1"/>
    </row>
    <row r="233" spans="1:159" ht="15.75" customHeight="1"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c r="DM233" s="16"/>
      <c r="DN233" s="16"/>
      <c r="DO233" s="16"/>
      <c r="DP233" s="16"/>
      <c r="EA233" s="1"/>
      <c r="EB233" s="1"/>
      <c r="ED233" s="1"/>
      <c r="EE233" s="1"/>
      <c r="EG233" s="1"/>
      <c r="EH233" s="1"/>
      <c r="EL233" s="15"/>
      <c r="EM233" s="1"/>
      <c r="EN233" s="1"/>
      <c r="EP233" s="1"/>
      <c r="EQ233" s="1"/>
      <c r="ER233" s="1"/>
      <c r="ES233" s="1"/>
      <c r="ET233" s="1"/>
      <c r="EV233" s="1"/>
      <c r="EW233" s="1"/>
      <c r="EY233" s="1"/>
      <c r="EZ233" s="1"/>
      <c r="FB233" s="1"/>
      <c r="FC233" s="1"/>
    </row>
    <row r="234" spans="1:159" ht="15.75" customHeight="1"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EA234" s="1"/>
      <c r="EB234" s="1"/>
      <c r="ED234" s="1"/>
      <c r="EE234" s="1"/>
      <c r="EG234" s="1"/>
      <c r="EH234" s="1"/>
      <c r="EL234" s="15"/>
      <c r="EM234" s="1"/>
      <c r="EN234" s="1"/>
      <c r="EP234" s="1"/>
      <c r="EQ234" s="1"/>
      <c r="ER234" s="1"/>
      <c r="ES234" s="1"/>
      <c r="ET234" s="1"/>
      <c r="EV234" s="1"/>
      <c r="EW234" s="1"/>
      <c r="EY234" s="1"/>
      <c r="EZ234" s="1"/>
      <c r="FB234" s="1"/>
      <c r="FC234" s="1"/>
    </row>
    <row r="235" spans="1:159" ht="15.75" customHeight="1"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c r="DM235" s="16"/>
      <c r="DN235" s="16"/>
      <c r="DO235" s="16"/>
      <c r="DP235" s="16"/>
      <c r="EA235" s="1"/>
      <c r="EB235" s="1"/>
      <c r="ED235" s="1"/>
      <c r="EE235" s="1"/>
      <c r="EG235" s="1"/>
      <c r="EH235" s="1"/>
      <c r="EL235" s="15"/>
      <c r="EM235" s="1"/>
      <c r="EN235" s="1"/>
      <c r="EP235" s="1"/>
      <c r="EQ235" s="1"/>
      <c r="ER235" s="1"/>
      <c r="ES235" s="1"/>
      <c r="ET235" s="1"/>
      <c r="EV235" s="1"/>
      <c r="EW235" s="1"/>
      <c r="EY235" s="1"/>
      <c r="EZ235" s="1"/>
      <c r="FB235" s="1"/>
      <c r="FC235" s="1"/>
    </row>
    <row r="236" spans="1:159" ht="15.75" customHeight="1"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EA236" s="1"/>
      <c r="EB236" s="1"/>
      <c r="ED236" s="1"/>
      <c r="EE236" s="1"/>
      <c r="EG236" s="1"/>
      <c r="EH236" s="1"/>
      <c r="EL236" s="15"/>
      <c r="EM236" s="1"/>
      <c r="EN236" s="1"/>
      <c r="EP236" s="1"/>
      <c r="EQ236" s="1"/>
      <c r="ER236" s="1"/>
      <c r="ES236" s="1"/>
      <c r="ET236" s="1"/>
      <c r="EV236" s="1"/>
      <c r="EW236" s="1"/>
      <c r="EY236" s="1"/>
      <c r="EZ236" s="1"/>
      <c r="FB236" s="1"/>
      <c r="FC236" s="1"/>
    </row>
    <row r="237" spans="1:159" ht="15.75" customHeight="1"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EA237" s="1"/>
      <c r="EB237" s="1"/>
      <c r="ED237" s="1"/>
      <c r="EE237" s="1"/>
      <c r="EG237" s="1"/>
      <c r="EH237" s="1"/>
      <c r="EL237" s="15"/>
      <c r="EM237" s="1"/>
      <c r="EN237" s="1"/>
      <c r="EP237" s="1"/>
      <c r="EQ237" s="1"/>
      <c r="ER237" s="1"/>
      <c r="ES237" s="1"/>
      <c r="ET237" s="1"/>
      <c r="EV237" s="1"/>
      <c r="EW237" s="1"/>
      <c r="EY237" s="1"/>
      <c r="EZ237" s="1"/>
      <c r="FB237" s="1"/>
      <c r="FC237" s="1"/>
    </row>
    <row r="238" spans="1:159" ht="15.75" customHeight="1"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EA238" s="1"/>
      <c r="EB238" s="1"/>
      <c r="ED238" s="1"/>
      <c r="EE238" s="1"/>
      <c r="EG238" s="1"/>
      <c r="EH238" s="1"/>
      <c r="EL238" s="15"/>
      <c r="EM238" s="1"/>
      <c r="EN238" s="1"/>
      <c r="EP238" s="1"/>
      <c r="EQ238" s="1"/>
      <c r="ER238" s="1"/>
      <c r="ES238" s="1"/>
      <c r="ET238" s="1"/>
      <c r="EV238" s="1"/>
      <c r="EW238" s="1"/>
      <c r="EY238" s="1"/>
      <c r="EZ238" s="1"/>
      <c r="FB238" s="1"/>
      <c r="FC238" s="1"/>
    </row>
    <row r="239" spans="1:159" ht="15.75" customHeight="1"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EA239" s="1"/>
      <c r="EB239" s="1"/>
      <c r="ED239" s="1"/>
      <c r="EE239" s="1"/>
      <c r="EG239" s="1"/>
      <c r="EH239" s="1"/>
      <c r="EL239" s="15"/>
      <c r="EM239" s="1"/>
      <c r="EN239" s="1"/>
      <c r="EP239" s="1"/>
      <c r="EQ239" s="1"/>
      <c r="ER239" s="1"/>
      <c r="ES239" s="1"/>
      <c r="ET239" s="1"/>
      <c r="EV239" s="1"/>
      <c r="EW239" s="1"/>
      <c r="EY239" s="1"/>
      <c r="EZ239" s="1"/>
      <c r="FB239" s="1"/>
      <c r="FC239" s="1"/>
    </row>
    <row r="240" spans="1:159" ht="15.75" customHeight="1"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EA240" s="1"/>
      <c r="EB240" s="1"/>
      <c r="ED240" s="1"/>
      <c r="EE240" s="1"/>
      <c r="EG240" s="1"/>
      <c r="EH240" s="1"/>
      <c r="EL240" s="15"/>
      <c r="EM240" s="1"/>
      <c r="EN240" s="1"/>
      <c r="EP240" s="1"/>
      <c r="EQ240" s="1"/>
      <c r="ER240" s="1"/>
      <c r="ES240" s="1"/>
      <c r="ET240" s="1"/>
      <c r="EV240" s="1"/>
      <c r="EW240" s="1"/>
      <c r="EY240" s="1"/>
      <c r="EZ240" s="1"/>
      <c r="FB240" s="1"/>
      <c r="FC240" s="1"/>
    </row>
    <row r="241" spans="1:159" ht="15.75" customHeight="1"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EA241" s="1"/>
      <c r="EB241" s="1"/>
      <c r="ED241" s="1"/>
      <c r="EE241" s="1"/>
      <c r="EG241" s="1"/>
      <c r="EH241" s="1"/>
      <c r="EL241" s="15"/>
      <c r="EM241" s="1"/>
      <c r="EN241" s="1"/>
      <c r="EP241" s="1"/>
      <c r="EQ241" s="1"/>
      <c r="ER241" s="1"/>
      <c r="ES241" s="1"/>
      <c r="ET241" s="1"/>
      <c r="EV241" s="1"/>
      <c r="EW241" s="1"/>
      <c r="EY241" s="1"/>
      <c r="EZ241" s="1"/>
      <c r="FB241" s="1"/>
      <c r="FC241" s="1"/>
    </row>
    <row r="242" spans="1:159" ht="15.75" customHeight="1"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c r="DK242" s="16"/>
      <c r="DL242" s="16"/>
      <c r="DM242" s="16"/>
      <c r="DN242" s="16"/>
      <c r="DO242" s="16"/>
      <c r="DP242" s="16"/>
      <c r="EA242" s="1"/>
      <c r="EB242" s="1"/>
      <c r="ED242" s="1"/>
      <c r="EE242" s="1"/>
      <c r="EG242" s="1"/>
      <c r="EH242" s="1"/>
      <c r="EL242" s="15"/>
      <c r="EM242" s="1"/>
      <c r="EN242" s="1"/>
      <c r="EP242" s="1"/>
      <c r="EQ242" s="1"/>
      <c r="ER242" s="1"/>
      <c r="ES242" s="1"/>
      <c r="ET242" s="1"/>
      <c r="EV242" s="1"/>
      <c r="EW242" s="1"/>
      <c r="EY242" s="1"/>
      <c r="EZ242" s="1"/>
      <c r="FB242" s="1"/>
      <c r="FC242" s="1"/>
    </row>
    <row r="243" spans="1:159" ht="15.75" customHeight="1"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EA243" s="1"/>
      <c r="EB243" s="1"/>
      <c r="ED243" s="1"/>
      <c r="EE243" s="1"/>
      <c r="EG243" s="1"/>
      <c r="EH243" s="1"/>
      <c r="EL243" s="15"/>
      <c r="EM243" s="1"/>
      <c r="EN243" s="1"/>
      <c r="EP243" s="1"/>
      <c r="EQ243" s="1"/>
      <c r="ER243" s="1"/>
      <c r="ES243" s="1"/>
      <c r="ET243" s="1"/>
      <c r="EV243" s="1"/>
      <c r="EW243" s="1"/>
      <c r="EY243" s="1"/>
      <c r="EZ243" s="1"/>
      <c r="FB243" s="1"/>
      <c r="FC243" s="1"/>
    </row>
    <row r="244" spans="1:159" ht="15.75" customHeight="1"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c r="DM244" s="16"/>
      <c r="DN244" s="16"/>
      <c r="DO244" s="16"/>
      <c r="DP244" s="16"/>
      <c r="EA244" s="1"/>
      <c r="EB244" s="1"/>
      <c r="ED244" s="1"/>
      <c r="EE244" s="1"/>
      <c r="EG244" s="1"/>
      <c r="EH244" s="1"/>
      <c r="EL244" s="15"/>
      <c r="EM244" s="1"/>
      <c r="EN244" s="1"/>
      <c r="EP244" s="1"/>
      <c r="EQ244" s="1"/>
      <c r="ER244" s="1"/>
      <c r="ES244" s="1"/>
      <c r="ET244" s="1"/>
      <c r="EV244" s="1"/>
      <c r="EW244" s="1"/>
      <c r="EY244" s="1"/>
      <c r="EZ244" s="1"/>
      <c r="FB244" s="1"/>
      <c r="FC244" s="1"/>
    </row>
    <row r="245" spans="1:159" ht="15.75" customHeight="1"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EA245" s="1"/>
      <c r="EB245" s="1"/>
      <c r="ED245" s="1"/>
      <c r="EE245" s="1"/>
      <c r="EG245" s="1"/>
      <c r="EH245" s="1"/>
      <c r="EL245" s="15"/>
      <c r="EM245" s="1"/>
      <c r="EN245" s="1"/>
      <c r="EP245" s="1"/>
      <c r="EQ245" s="1"/>
      <c r="ER245" s="1"/>
      <c r="ES245" s="1"/>
      <c r="ET245" s="1"/>
      <c r="EV245" s="1"/>
      <c r="EW245" s="1"/>
      <c r="EY245" s="1"/>
      <c r="EZ245" s="1"/>
      <c r="FB245" s="1"/>
      <c r="FC245" s="1"/>
    </row>
    <row r="246" spans="1:159" ht="15.75" customHeight="1"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EA246" s="1"/>
      <c r="EB246" s="1"/>
      <c r="ED246" s="1"/>
      <c r="EE246" s="1"/>
      <c r="EG246" s="1"/>
      <c r="EH246" s="1"/>
      <c r="EL246" s="15"/>
      <c r="EM246" s="1"/>
      <c r="EN246" s="1"/>
      <c r="EP246" s="1"/>
      <c r="EQ246" s="1"/>
      <c r="ER246" s="1"/>
      <c r="ES246" s="1"/>
      <c r="ET246" s="1"/>
      <c r="EV246" s="1"/>
      <c r="EW246" s="1"/>
      <c r="EY246" s="1"/>
      <c r="EZ246" s="1"/>
      <c r="FB246" s="1"/>
      <c r="FC246" s="1"/>
    </row>
    <row r="247" spans="1:159" ht="15.75" customHeight="1"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EA247" s="1"/>
      <c r="EB247" s="1"/>
      <c r="ED247" s="1"/>
      <c r="EE247" s="1"/>
      <c r="EG247" s="1"/>
      <c r="EH247" s="1"/>
      <c r="EL247" s="15"/>
      <c r="EM247" s="1"/>
      <c r="EN247" s="1"/>
      <c r="EP247" s="1"/>
      <c r="EQ247" s="1"/>
      <c r="ER247" s="1"/>
      <c r="ES247" s="1"/>
      <c r="ET247" s="1"/>
      <c r="EV247" s="1"/>
      <c r="EW247" s="1"/>
      <c r="EY247" s="1"/>
      <c r="EZ247" s="1"/>
      <c r="FB247" s="1"/>
      <c r="FC247" s="1"/>
    </row>
    <row r="248" spans="1:159" ht="15.75" customHeight="1"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EA248" s="1"/>
      <c r="EB248" s="1"/>
      <c r="ED248" s="1"/>
      <c r="EE248" s="1"/>
      <c r="EG248" s="1"/>
      <c r="EH248" s="1"/>
      <c r="EL248" s="15"/>
      <c r="EM248" s="1"/>
      <c r="EN248" s="1"/>
      <c r="EP248" s="1"/>
      <c r="EQ248" s="1"/>
      <c r="ER248" s="1"/>
      <c r="ES248" s="1"/>
      <c r="ET248" s="1"/>
      <c r="EV248" s="1"/>
      <c r="EW248" s="1"/>
      <c r="EY248" s="1"/>
      <c r="EZ248" s="1"/>
      <c r="FB248" s="1"/>
      <c r="FC248" s="1"/>
    </row>
    <row r="249" spans="1:159" ht="15.75" customHeight="1"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c r="DM249" s="16"/>
      <c r="DN249" s="16"/>
      <c r="DO249" s="16"/>
      <c r="DP249" s="16"/>
      <c r="EA249" s="1"/>
      <c r="EB249" s="1"/>
      <c r="ED249" s="1"/>
      <c r="EE249" s="1"/>
      <c r="EG249" s="1"/>
      <c r="EH249" s="1"/>
      <c r="EL249" s="15"/>
      <c r="EM249" s="1"/>
      <c r="EN249" s="1"/>
      <c r="EP249" s="1"/>
      <c r="EQ249" s="1"/>
      <c r="ER249" s="1"/>
      <c r="ES249" s="1"/>
      <c r="ET249" s="1"/>
      <c r="EV249" s="1"/>
      <c r="EW249" s="1"/>
      <c r="EY249" s="1"/>
      <c r="EZ249" s="1"/>
      <c r="FB249" s="1"/>
      <c r="FC249" s="1"/>
    </row>
    <row r="250" spans="1:159" ht="15.75" customHeight="1"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c r="DM250" s="16"/>
      <c r="DN250" s="16"/>
      <c r="DO250" s="16"/>
      <c r="DP250" s="16"/>
      <c r="EA250" s="1"/>
      <c r="EB250" s="1"/>
      <c r="ED250" s="1"/>
      <c r="EE250" s="1"/>
      <c r="EG250" s="1"/>
      <c r="EH250" s="1"/>
      <c r="EL250" s="15"/>
      <c r="EM250" s="1"/>
      <c r="EN250" s="1"/>
      <c r="EP250" s="1"/>
      <c r="EQ250" s="1"/>
      <c r="ER250" s="1"/>
      <c r="ES250" s="1"/>
      <c r="ET250" s="1"/>
      <c r="EV250" s="1"/>
      <c r="EW250" s="1"/>
      <c r="EY250" s="1"/>
      <c r="EZ250" s="1"/>
      <c r="FB250" s="1"/>
      <c r="FC250" s="1"/>
    </row>
    <row r="251" spans="1:159" ht="15.75" customHeight="1"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EA251" s="1"/>
      <c r="EB251" s="1"/>
      <c r="ED251" s="1"/>
      <c r="EE251" s="1"/>
      <c r="EG251" s="1"/>
      <c r="EH251" s="1"/>
      <c r="EL251" s="15"/>
      <c r="EM251" s="1"/>
      <c r="EN251" s="1"/>
      <c r="EP251" s="1"/>
      <c r="EQ251" s="1"/>
      <c r="ER251" s="1"/>
      <c r="ES251" s="1"/>
      <c r="ET251" s="1"/>
      <c r="EV251" s="1"/>
      <c r="EW251" s="1"/>
      <c r="EY251" s="1"/>
      <c r="EZ251" s="1"/>
      <c r="FB251" s="1"/>
      <c r="FC251" s="1"/>
    </row>
    <row r="252" spans="1:159" ht="15.75" customHeight="1"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EA252" s="1"/>
      <c r="EB252" s="1"/>
      <c r="ED252" s="1"/>
      <c r="EE252" s="1"/>
      <c r="EG252" s="1"/>
      <c r="EH252" s="1"/>
      <c r="EL252" s="15"/>
      <c r="EM252" s="1"/>
      <c r="EN252" s="1"/>
      <c r="EP252" s="1"/>
      <c r="EQ252" s="1"/>
      <c r="ER252" s="1"/>
      <c r="ES252" s="1"/>
      <c r="ET252" s="1"/>
      <c r="EV252" s="1"/>
      <c r="EW252" s="1"/>
      <c r="EY252" s="1"/>
      <c r="EZ252" s="1"/>
      <c r="FB252" s="1"/>
      <c r="FC252" s="1"/>
    </row>
    <row r="253" spans="1:159" ht="15.75" customHeight="1"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EA253" s="1"/>
      <c r="EB253" s="1"/>
      <c r="ED253" s="1"/>
      <c r="EE253" s="1"/>
      <c r="EG253" s="1"/>
      <c r="EH253" s="1"/>
      <c r="EL253" s="15"/>
      <c r="EM253" s="1"/>
      <c r="EN253" s="1"/>
      <c r="EP253" s="1"/>
      <c r="EQ253" s="1"/>
      <c r="ER253" s="1"/>
      <c r="ES253" s="1"/>
      <c r="ET253" s="1"/>
      <c r="EV253" s="1"/>
      <c r="EW253" s="1"/>
      <c r="EY253" s="1"/>
      <c r="EZ253" s="1"/>
      <c r="FB253" s="1"/>
      <c r="FC253" s="1"/>
    </row>
    <row r="254" spans="1:159" ht="15.75" customHeight="1"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EA254" s="1"/>
      <c r="EB254" s="1"/>
      <c r="ED254" s="1"/>
      <c r="EE254" s="1"/>
      <c r="EG254" s="1"/>
      <c r="EH254" s="1"/>
      <c r="EL254" s="15"/>
      <c r="EM254" s="1"/>
      <c r="EN254" s="1"/>
      <c r="EP254" s="1"/>
      <c r="EQ254" s="1"/>
      <c r="ER254" s="1"/>
      <c r="ES254" s="1"/>
      <c r="ET254" s="1"/>
      <c r="EV254" s="1"/>
      <c r="EW254" s="1"/>
      <c r="EY254" s="1"/>
      <c r="EZ254" s="1"/>
      <c r="FB254" s="1"/>
      <c r="FC254" s="1"/>
    </row>
    <row r="255" spans="1:159" ht="15.75" customHeight="1"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c r="DM255" s="16"/>
      <c r="DN255" s="16"/>
      <c r="DO255" s="16"/>
      <c r="DP255" s="16"/>
      <c r="EA255" s="1"/>
      <c r="EB255" s="1"/>
      <c r="ED255" s="1"/>
      <c r="EE255" s="1"/>
      <c r="EG255" s="1"/>
      <c r="EH255" s="1"/>
      <c r="EL255" s="15"/>
      <c r="EM255" s="1"/>
      <c r="EN255" s="1"/>
      <c r="EP255" s="1"/>
      <c r="EQ255" s="1"/>
      <c r="ER255" s="1"/>
      <c r="ES255" s="1"/>
      <c r="ET255" s="1"/>
      <c r="EV255" s="1"/>
      <c r="EW255" s="1"/>
      <c r="EY255" s="1"/>
      <c r="EZ255" s="1"/>
      <c r="FB255" s="1"/>
      <c r="FC255" s="1"/>
    </row>
    <row r="256" spans="1:159" ht="15.75" customHeight="1"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EA256" s="1"/>
      <c r="EB256" s="1"/>
      <c r="ED256" s="1"/>
      <c r="EE256" s="1"/>
      <c r="EG256" s="1"/>
      <c r="EH256" s="1"/>
      <c r="EL256" s="15"/>
      <c r="EM256" s="1"/>
      <c r="EN256" s="1"/>
      <c r="EP256" s="1"/>
      <c r="EQ256" s="1"/>
      <c r="ER256" s="1"/>
      <c r="ES256" s="1"/>
      <c r="ET256" s="1"/>
      <c r="EV256" s="1"/>
      <c r="EW256" s="1"/>
      <c r="EY256" s="1"/>
      <c r="EZ256" s="1"/>
      <c r="FB256" s="1"/>
      <c r="FC256" s="1"/>
    </row>
    <row r="257" spans="1:159" ht="15.75" customHeight="1"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c r="DM257" s="16"/>
      <c r="DN257" s="16"/>
      <c r="DO257" s="16"/>
      <c r="DP257" s="16"/>
      <c r="EA257" s="1"/>
      <c r="EB257" s="1"/>
      <c r="ED257" s="1"/>
      <c r="EE257" s="1"/>
      <c r="EG257" s="1"/>
      <c r="EH257" s="1"/>
      <c r="EL257" s="15"/>
      <c r="EM257" s="1"/>
      <c r="EN257" s="1"/>
      <c r="EP257" s="1"/>
      <c r="EQ257" s="1"/>
      <c r="ER257" s="1"/>
      <c r="ES257" s="1"/>
      <c r="ET257" s="1"/>
      <c r="EV257" s="1"/>
      <c r="EW257" s="1"/>
      <c r="EY257" s="1"/>
      <c r="EZ257" s="1"/>
      <c r="FB257" s="1"/>
      <c r="FC257" s="1"/>
    </row>
    <row r="258" spans="1:159" ht="15.75" customHeight="1"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c r="DM258" s="16"/>
      <c r="DN258" s="16"/>
      <c r="DO258" s="16"/>
      <c r="DP258" s="16"/>
      <c r="EA258" s="1"/>
      <c r="EB258" s="1"/>
      <c r="ED258" s="1"/>
      <c r="EE258" s="1"/>
      <c r="EG258" s="1"/>
      <c r="EH258" s="1"/>
      <c r="EL258" s="15"/>
      <c r="EM258" s="1"/>
      <c r="EN258" s="1"/>
      <c r="EP258" s="1"/>
      <c r="EQ258" s="1"/>
      <c r="ER258" s="1"/>
      <c r="ES258" s="1"/>
      <c r="ET258" s="1"/>
      <c r="EV258" s="1"/>
      <c r="EW258" s="1"/>
      <c r="EY258" s="1"/>
      <c r="EZ258" s="1"/>
      <c r="FB258" s="1"/>
      <c r="FC258" s="1"/>
    </row>
    <row r="259" spans="1:159" ht="15.75" customHeight="1"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c r="DM259" s="16"/>
      <c r="DN259" s="16"/>
      <c r="DO259" s="16"/>
      <c r="DP259" s="16"/>
      <c r="EA259" s="1"/>
      <c r="EB259" s="1"/>
      <c r="ED259" s="1"/>
      <c r="EE259" s="1"/>
      <c r="EG259" s="1"/>
      <c r="EH259" s="1"/>
      <c r="EL259" s="15"/>
      <c r="EM259" s="1"/>
      <c r="EN259" s="1"/>
      <c r="EP259" s="1"/>
      <c r="EQ259" s="1"/>
      <c r="ER259" s="1"/>
      <c r="ES259" s="1"/>
      <c r="ET259" s="1"/>
      <c r="EV259" s="1"/>
      <c r="EW259" s="1"/>
      <c r="EY259" s="1"/>
      <c r="EZ259" s="1"/>
      <c r="FB259" s="1"/>
      <c r="FC259" s="1"/>
    </row>
    <row r="260" spans="1:159" ht="15.75" customHeight="1"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c r="DO260" s="16"/>
      <c r="DP260" s="16"/>
      <c r="EA260" s="1"/>
      <c r="EB260" s="1"/>
      <c r="ED260" s="1"/>
      <c r="EE260" s="1"/>
      <c r="EG260" s="1"/>
      <c r="EH260" s="1"/>
      <c r="EL260" s="15"/>
      <c r="EM260" s="1"/>
      <c r="EN260" s="1"/>
      <c r="EP260" s="1"/>
      <c r="EQ260" s="1"/>
      <c r="ER260" s="1"/>
      <c r="ES260" s="1"/>
      <c r="ET260" s="1"/>
      <c r="EV260" s="1"/>
      <c r="EW260" s="1"/>
      <c r="EY260" s="1"/>
      <c r="EZ260" s="1"/>
      <c r="FB260" s="1"/>
      <c r="FC260" s="1"/>
    </row>
    <row r="261" spans="1:159" ht="15.75" customHeight="1"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c r="DO261" s="16"/>
      <c r="DP261" s="16"/>
      <c r="EA261" s="1"/>
      <c r="EB261" s="1"/>
      <c r="ED261" s="1"/>
      <c r="EE261" s="1"/>
      <c r="EG261" s="1"/>
      <c r="EH261" s="1"/>
      <c r="EL261" s="15"/>
      <c r="EM261" s="1"/>
      <c r="EN261" s="1"/>
      <c r="EP261" s="1"/>
      <c r="EQ261" s="1"/>
      <c r="ER261" s="1"/>
      <c r="ES261" s="1"/>
      <c r="ET261" s="1"/>
      <c r="EV261" s="1"/>
      <c r="EW261" s="1"/>
      <c r="EY261" s="1"/>
      <c r="EZ261" s="1"/>
      <c r="FB261" s="1"/>
      <c r="FC261" s="1"/>
    </row>
    <row r="262" spans="1:159" ht="15.75" customHeight="1"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EA262" s="1"/>
      <c r="EB262" s="1"/>
      <c r="ED262" s="1"/>
      <c r="EE262" s="1"/>
      <c r="EG262" s="1"/>
      <c r="EH262" s="1"/>
      <c r="EL262" s="15"/>
      <c r="EM262" s="1"/>
      <c r="EN262" s="1"/>
      <c r="EP262" s="1"/>
      <c r="EQ262" s="1"/>
      <c r="ER262" s="1"/>
      <c r="ES262" s="1"/>
      <c r="ET262" s="1"/>
      <c r="EV262" s="1"/>
      <c r="EW262" s="1"/>
      <c r="EY262" s="1"/>
      <c r="EZ262" s="1"/>
      <c r="FB262" s="1"/>
      <c r="FC262" s="1"/>
    </row>
    <row r="263" spans="1:159" ht="15.75" customHeight="1"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c r="DM263" s="16"/>
      <c r="DN263" s="16"/>
      <c r="DO263" s="16"/>
      <c r="DP263" s="16"/>
      <c r="EA263" s="1"/>
      <c r="EB263" s="1"/>
      <c r="ED263" s="1"/>
      <c r="EE263" s="1"/>
      <c r="EG263" s="1"/>
      <c r="EH263" s="1"/>
      <c r="EL263" s="15"/>
      <c r="EM263" s="1"/>
      <c r="EN263" s="1"/>
      <c r="EP263" s="1"/>
      <c r="EQ263" s="1"/>
      <c r="ER263" s="1"/>
      <c r="ES263" s="1"/>
      <c r="ET263" s="1"/>
      <c r="EV263" s="1"/>
      <c r="EW263" s="1"/>
      <c r="EY263" s="1"/>
      <c r="EZ263" s="1"/>
      <c r="FB263" s="1"/>
      <c r="FC263" s="1"/>
    </row>
    <row r="264" spans="1:159" ht="15.75" customHeight="1"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c r="DM264" s="16"/>
      <c r="DN264" s="16"/>
      <c r="DO264" s="16"/>
      <c r="DP264" s="16"/>
      <c r="EA264" s="1"/>
      <c r="EB264" s="1"/>
      <c r="ED264" s="1"/>
      <c r="EE264" s="1"/>
      <c r="EG264" s="1"/>
      <c r="EH264" s="1"/>
      <c r="EL264" s="15"/>
      <c r="EM264" s="1"/>
      <c r="EN264" s="1"/>
      <c r="EP264" s="1"/>
      <c r="EQ264" s="1"/>
      <c r="ER264" s="1"/>
      <c r="ES264" s="1"/>
      <c r="ET264" s="1"/>
      <c r="EV264" s="1"/>
      <c r="EW264" s="1"/>
      <c r="EY264" s="1"/>
      <c r="EZ264" s="1"/>
      <c r="FB264" s="1"/>
      <c r="FC264" s="1"/>
    </row>
    <row r="265" spans="1:159" ht="15.75" customHeight="1"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c r="DM265" s="16"/>
      <c r="DN265" s="16"/>
      <c r="DO265" s="16"/>
      <c r="DP265" s="16"/>
      <c r="EA265" s="1"/>
      <c r="EB265" s="1"/>
      <c r="ED265" s="1"/>
      <c r="EE265" s="1"/>
      <c r="EG265" s="1"/>
      <c r="EH265" s="1"/>
      <c r="EL265" s="15"/>
      <c r="EM265" s="1"/>
      <c r="EN265" s="1"/>
      <c r="EP265" s="1"/>
      <c r="EQ265" s="1"/>
      <c r="ER265" s="1"/>
      <c r="ES265" s="1"/>
      <c r="ET265" s="1"/>
      <c r="EV265" s="1"/>
      <c r="EW265" s="1"/>
      <c r="EY265" s="1"/>
      <c r="EZ265" s="1"/>
      <c r="FB265" s="1"/>
      <c r="FC265" s="1"/>
    </row>
    <row r="266" spans="1:159" ht="15.75" customHeight="1"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EA266" s="1"/>
      <c r="EB266" s="1"/>
      <c r="ED266" s="1"/>
      <c r="EE266" s="1"/>
      <c r="EG266" s="1"/>
      <c r="EH266" s="1"/>
      <c r="EL266" s="15"/>
      <c r="EM266" s="1"/>
      <c r="EN266" s="1"/>
      <c r="EP266" s="1"/>
      <c r="EQ266" s="1"/>
      <c r="ER266" s="1"/>
      <c r="ES266" s="1"/>
      <c r="ET266" s="1"/>
      <c r="EV266" s="1"/>
      <c r="EW266" s="1"/>
      <c r="EY266" s="1"/>
      <c r="EZ266" s="1"/>
      <c r="FB266" s="1"/>
      <c r="FC266" s="1"/>
    </row>
    <row r="267" spans="1:159" ht="15.75" customHeight="1"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EA267" s="1"/>
      <c r="EB267" s="1"/>
      <c r="ED267" s="1"/>
      <c r="EE267" s="1"/>
      <c r="EG267" s="1"/>
      <c r="EH267" s="1"/>
      <c r="EL267" s="15"/>
      <c r="EM267" s="1"/>
      <c r="EN267" s="1"/>
      <c r="EP267" s="1"/>
      <c r="EQ267" s="1"/>
      <c r="ER267" s="1"/>
      <c r="ES267" s="1"/>
      <c r="ET267" s="1"/>
      <c r="EV267" s="1"/>
      <c r="EW267" s="1"/>
      <c r="EY267" s="1"/>
      <c r="EZ267" s="1"/>
      <c r="FB267" s="1"/>
      <c r="FC267" s="1"/>
    </row>
    <row r="268" spans="1:159" ht="15.75" customHeight="1"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EA268" s="1"/>
      <c r="EB268" s="1"/>
      <c r="ED268" s="1"/>
      <c r="EE268" s="1"/>
      <c r="EG268" s="1"/>
      <c r="EH268" s="1"/>
      <c r="EL268" s="15"/>
      <c r="EM268" s="1"/>
      <c r="EN268" s="1"/>
      <c r="EP268" s="1"/>
      <c r="EQ268" s="1"/>
      <c r="ER268" s="1"/>
      <c r="ES268" s="1"/>
      <c r="ET268" s="1"/>
      <c r="EV268" s="1"/>
      <c r="EW268" s="1"/>
      <c r="EY268" s="1"/>
      <c r="EZ268" s="1"/>
      <c r="FB268" s="1"/>
      <c r="FC268" s="1"/>
    </row>
    <row r="269" spans="1:159" ht="15.75" customHeight="1"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16"/>
      <c r="DE269" s="16"/>
      <c r="DF269" s="16"/>
      <c r="DG269" s="16"/>
      <c r="DH269" s="16"/>
      <c r="DI269" s="16"/>
      <c r="DJ269" s="16"/>
      <c r="DK269" s="16"/>
      <c r="DL269" s="16"/>
      <c r="DM269" s="16"/>
      <c r="DN269" s="16"/>
      <c r="DO269" s="16"/>
      <c r="DP269" s="16"/>
      <c r="EA269" s="1"/>
      <c r="EB269" s="1"/>
      <c r="ED269" s="1"/>
      <c r="EE269" s="1"/>
      <c r="EG269" s="1"/>
      <c r="EH269" s="1"/>
      <c r="EL269" s="15"/>
      <c r="EM269" s="1"/>
      <c r="EN269" s="1"/>
      <c r="EP269" s="1"/>
      <c r="EQ269" s="1"/>
      <c r="ER269" s="1"/>
      <c r="ES269" s="1"/>
      <c r="ET269" s="1"/>
      <c r="EV269" s="1"/>
      <c r="EW269" s="1"/>
      <c r="EY269" s="1"/>
      <c r="EZ269" s="1"/>
      <c r="FB269" s="1"/>
      <c r="FC269" s="1"/>
    </row>
    <row r="270" spans="1:159" ht="15.75" customHeight="1"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EA270" s="1"/>
      <c r="EB270" s="1"/>
      <c r="ED270" s="1"/>
      <c r="EE270" s="1"/>
      <c r="EG270" s="1"/>
      <c r="EH270" s="1"/>
      <c r="EL270" s="15"/>
      <c r="EM270" s="1"/>
      <c r="EN270" s="1"/>
      <c r="EP270" s="1"/>
      <c r="EQ270" s="1"/>
      <c r="ER270" s="1"/>
      <c r="ES270" s="1"/>
      <c r="ET270" s="1"/>
      <c r="EV270" s="1"/>
      <c r="EW270" s="1"/>
      <c r="EY270" s="1"/>
      <c r="EZ270" s="1"/>
      <c r="FB270" s="1"/>
      <c r="FC270" s="1"/>
    </row>
    <row r="271" spans="1:159" ht="15.75" customHeight="1"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c r="DO271" s="16"/>
      <c r="DP271" s="16"/>
      <c r="EA271" s="1"/>
      <c r="EB271" s="1"/>
      <c r="ED271" s="1"/>
      <c r="EE271" s="1"/>
      <c r="EG271" s="1"/>
      <c r="EH271" s="1"/>
      <c r="EL271" s="15"/>
      <c r="EM271" s="1"/>
      <c r="EN271" s="1"/>
      <c r="EP271" s="1"/>
      <c r="EQ271" s="1"/>
      <c r="ER271" s="1"/>
      <c r="ES271" s="1"/>
      <c r="ET271" s="1"/>
      <c r="EV271" s="1"/>
      <c r="EW271" s="1"/>
      <c r="EY271" s="1"/>
      <c r="EZ271" s="1"/>
      <c r="FB271" s="1"/>
      <c r="FC271" s="1"/>
    </row>
    <row r="272" spans="1:159" ht="15.75" customHeight="1"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16"/>
      <c r="DE272" s="16"/>
      <c r="DF272" s="16"/>
      <c r="DG272" s="16"/>
      <c r="DH272" s="16"/>
      <c r="DI272" s="16"/>
      <c r="DJ272" s="16"/>
      <c r="DK272" s="16"/>
      <c r="DL272" s="16"/>
      <c r="DM272" s="16"/>
      <c r="DN272" s="16"/>
      <c r="DO272" s="16"/>
      <c r="DP272" s="16"/>
      <c r="EA272" s="1"/>
      <c r="EB272" s="1"/>
      <c r="ED272" s="1"/>
      <c r="EE272" s="1"/>
      <c r="EG272" s="1"/>
      <c r="EH272" s="1"/>
      <c r="EL272" s="15"/>
      <c r="EM272" s="1"/>
      <c r="EN272" s="1"/>
      <c r="EP272" s="1"/>
      <c r="EQ272" s="1"/>
      <c r="ER272" s="1"/>
      <c r="ES272" s="1"/>
      <c r="ET272" s="1"/>
      <c r="EV272" s="1"/>
      <c r="EW272" s="1"/>
      <c r="EY272" s="1"/>
      <c r="EZ272" s="1"/>
      <c r="FB272" s="1"/>
      <c r="FC272" s="1"/>
    </row>
    <row r="273" spans="1:159" ht="15.75" customHeight="1"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16"/>
      <c r="DE273" s="16"/>
      <c r="DF273" s="16"/>
      <c r="DG273" s="16"/>
      <c r="DH273" s="16"/>
      <c r="DI273" s="16"/>
      <c r="DJ273" s="16"/>
      <c r="DK273" s="16"/>
      <c r="DL273" s="16"/>
      <c r="DM273" s="16"/>
      <c r="DN273" s="16"/>
      <c r="DO273" s="16"/>
      <c r="DP273" s="16"/>
      <c r="EA273" s="1"/>
      <c r="EB273" s="1"/>
      <c r="ED273" s="1"/>
      <c r="EE273" s="1"/>
      <c r="EG273" s="1"/>
      <c r="EH273" s="1"/>
      <c r="EL273" s="15"/>
      <c r="EM273" s="1"/>
      <c r="EN273" s="1"/>
      <c r="EP273" s="1"/>
      <c r="EQ273" s="1"/>
      <c r="ER273" s="1"/>
      <c r="ES273" s="1"/>
      <c r="ET273" s="1"/>
      <c r="EV273" s="1"/>
      <c r="EW273" s="1"/>
      <c r="EY273" s="1"/>
      <c r="EZ273" s="1"/>
      <c r="FB273" s="1"/>
      <c r="FC273" s="1"/>
    </row>
    <row r="274" spans="1:159" ht="15.75" customHeight="1"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16"/>
      <c r="DE274" s="16"/>
      <c r="DF274" s="16"/>
      <c r="DG274" s="16"/>
      <c r="DH274" s="16"/>
      <c r="DI274" s="16"/>
      <c r="DJ274" s="16"/>
      <c r="DK274" s="16"/>
      <c r="DL274" s="16"/>
      <c r="DM274" s="16"/>
      <c r="DN274" s="16"/>
      <c r="DO274" s="16"/>
      <c r="DP274" s="16"/>
      <c r="EA274" s="1"/>
      <c r="EB274" s="1"/>
      <c r="ED274" s="1"/>
      <c r="EE274" s="1"/>
      <c r="EG274" s="1"/>
      <c r="EH274" s="1"/>
      <c r="EL274" s="15"/>
      <c r="EM274" s="1"/>
      <c r="EN274" s="1"/>
      <c r="EP274" s="1"/>
      <c r="EQ274" s="1"/>
      <c r="ER274" s="1"/>
      <c r="ES274" s="1"/>
      <c r="ET274" s="1"/>
      <c r="EV274" s="1"/>
      <c r="EW274" s="1"/>
      <c r="EY274" s="1"/>
      <c r="EZ274" s="1"/>
      <c r="FB274" s="1"/>
      <c r="FC274" s="1"/>
    </row>
    <row r="275" spans="1:159" ht="15.75" customHeight="1"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EA275" s="1"/>
      <c r="EB275" s="1"/>
      <c r="ED275" s="1"/>
      <c r="EE275" s="1"/>
      <c r="EG275" s="1"/>
      <c r="EH275" s="1"/>
      <c r="EL275" s="15"/>
      <c r="EM275" s="1"/>
      <c r="EN275" s="1"/>
      <c r="EP275" s="1"/>
      <c r="EQ275" s="1"/>
      <c r="ER275" s="1"/>
      <c r="ES275" s="1"/>
      <c r="ET275" s="1"/>
      <c r="EV275" s="1"/>
      <c r="EW275" s="1"/>
      <c r="EY275" s="1"/>
      <c r="EZ275" s="1"/>
      <c r="FB275" s="1"/>
      <c r="FC275" s="1"/>
    </row>
  </sheetData>
  <mergeCells count="75">
    <mergeCell ref="HD2:HE2"/>
    <mergeCell ref="GO2:GP2"/>
    <mergeCell ref="GR2:GS2"/>
    <mergeCell ref="GU2:GV2"/>
    <mergeCell ref="GX2:GY2"/>
    <mergeCell ref="HA2:HB2"/>
    <mergeCell ref="J2:K2"/>
    <mergeCell ref="M2:N2"/>
    <mergeCell ref="P2:Q2"/>
    <mergeCell ref="S2:T2"/>
    <mergeCell ref="V2:W2"/>
    <mergeCell ref="Y2:Z2"/>
    <mergeCell ref="AB2:AC2"/>
    <mergeCell ref="AE2:AF2"/>
    <mergeCell ref="AH2:AI2"/>
    <mergeCell ref="AK2:AL2"/>
    <mergeCell ref="AN2:AO2"/>
    <mergeCell ref="AQ2:AR2"/>
    <mergeCell ref="AT2:AU2"/>
    <mergeCell ref="AW2:AX2"/>
    <mergeCell ref="AZ2:BA2"/>
    <mergeCell ref="BC2:BD2"/>
    <mergeCell ref="BF2:BG2"/>
    <mergeCell ref="BI2:BJ2"/>
    <mergeCell ref="BL2:BM2"/>
    <mergeCell ref="BO2:BP2"/>
    <mergeCell ref="BR2:BS2"/>
    <mergeCell ref="BU2:BV2"/>
    <mergeCell ref="BX2:BY2"/>
    <mergeCell ref="CA2:CB2"/>
    <mergeCell ref="CD2:CE2"/>
    <mergeCell ref="CG2:CH2"/>
    <mergeCell ref="CJ2:CK2"/>
    <mergeCell ref="CM2:CN2"/>
    <mergeCell ref="CP2:CQ2"/>
    <mergeCell ref="CT2:CU2"/>
    <mergeCell ref="C1:AI1"/>
    <mergeCell ref="AJ1:BS1"/>
    <mergeCell ref="BT1:DB1"/>
    <mergeCell ref="DC1:EK1"/>
    <mergeCell ref="A2:B2"/>
    <mergeCell ref="D2:E2"/>
    <mergeCell ref="G2:H2"/>
    <mergeCell ref="CW2:CX2"/>
    <mergeCell ref="CZ2:DA2"/>
    <mergeCell ref="DC2:DD2"/>
    <mergeCell ref="DF2:DG2"/>
    <mergeCell ref="DI2:DJ2"/>
    <mergeCell ref="DL2:DM2"/>
    <mergeCell ref="DO2:DP2"/>
    <mergeCell ref="DR2:DS2"/>
    <mergeCell ref="DU2:DV2"/>
    <mergeCell ref="GL2:GM2"/>
    <mergeCell ref="FB2:FC2"/>
    <mergeCell ref="FE2:FF2"/>
    <mergeCell ref="FH2:FI2"/>
    <mergeCell ref="FK2:FL2"/>
    <mergeCell ref="FN2:FO2"/>
    <mergeCell ref="FQ2:FR2"/>
    <mergeCell ref="FT2:FU2"/>
    <mergeCell ref="FW2:FX2"/>
    <mergeCell ref="FZ2:GA2"/>
    <mergeCell ref="GC2:GD2"/>
    <mergeCell ref="GF2:GG2"/>
    <mergeCell ref="GI2:GJ2"/>
    <mergeCell ref="DX2:DY2"/>
    <mergeCell ref="EA2:EB2"/>
    <mergeCell ref="ED2:EE2"/>
    <mergeCell ref="EG2:EH2"/>
    <mergeCell ref="EJ2:EK2"/>
    <mergeCell ref="EM2:EN2"/>
    <mergeCell ref="EP2:EQ2"/>
    <mergeCell ref="ES2:ET2"/>
    <mergeCell ref="EV2:EW2"/>
    <mergeCell ref="EY2:EZ2"/>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640625" defaultRowHeight="15" customHeight="1" x14ac:dyDescent="0.3"/>
  <cols>
    <col min="1" max="1" width="12.9140625" customWidth="1"/>
    <col min="2" max="26" width="10.6640625" customWidth="1"/>
  </cols>
  <sheetData>
    <row r="1" spans="1:26" ht="13.5" customHeight="1" x14ac:dyDescent="0.3">
      <c r="A1" s="1" t="s">
        <v>758</v>
      </c>
      <c r="B1" s="1">
        <v>1660</v>
      </c>
      <c r="C1" s="1" t="s">
        <v>759</v>
      </c>
      <c r="D1" s="21">
        <f>E1/3</f>
        <v>366.66666666666669</v>
      </c>
      <c r="E1" s="1">
        <v>1100</v>
      </c>
      <c r="F1" s="1"/>
      <c r="G1" s="1"/>
      <c r="H1" s="1"/>
      <c r="I1" s="1"/>
      <c r="J1" s="1"/>
      <c r="K1" s="1"/>
      <c r="L1" s="1"/>
      <c r="M1" s="1"/>
      <c r="N1" s="1"/>
      <c r="O1" s="1"/>
      <c r="P1" s="1"/>
      <c r="Q1" s="1"/>
      <c r="R1" s="1"/>
      <c r="S1" s="1"/>
      <c r="T1" s="1"/>
      <c r="U1" s="1"/>
      <c r="V1" s="1"/>
      <c r="W1" s="1"/>
      <c r="X1" s="1"/>
      <c r="Y1" s="1"/>
      <c r="Z1" s="1"/>
    </row>
    <row r="2" spans="1:26" ht="13.5" customHeight="1" x14ac:dyDescent="0.3">
      <c r="A2" s="166"/>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3">
      <c r="A3" s="166" t="s">
        <v>760</v>
      </c>
      <c r="B3" s="21">
        <f>B1+D1</f>
        <v>2026.6666666666667</v>
      </c>
      <c r="D3" s="15" t="s">
        <v>761</v>
      </c>
      <c r="E3" s="88">
        <f>367+15+20+17+20</f>
        <v>439</v>
      </c>
    </row>
    <row r="4" spans="1:26" ht="13.5" customHeight="1" x14ac:dyDescent="0.3">
      <c r="A4" s="166">
        <v>45456</v>
      </c>
      <c r="B4" s="1">
        <v>100</v>
      </c>
      <c r="C4" s="1"/>
      <c r="D4" s="166">
        <v>45490</v>
      </c>
      <c r="E4" s="88">
        <v>50</v>
      </c>
      <c r="F4" s="1"/>
      <c r="G4" s="1"/>
      <c r="H4" s="1"/>
      <c r="I4" s="1"/>
      <c r="J4" s="1"/>
      <c r="K4" s="1"/>
      <c r="L4" s="1"/>
      <c r="M4" s="1"/>
      <c r="N4" s="1"/>
      <c r="O4" s="1"/>
      <c r="P4" s="1"/>
      <c r="Q4" s="1"/>
      <c r="R4" s="1"/>
      <c r="S4" s="1"/>
      <c r="T4" s="1"/>
      <c r="U4" s="1"/>
      <c r="V4" s="1"/>
      <c r="W4" s="1"/>
      <c r="X4" s="1"/>
      <c r="Y4" s="1"/>
      <c r="Z4" s="1"/>
    </row>
    <row r="5" spans="1:26" ht="13.5" customHeight="1" x14ac:dyDescent="0.3">
      <c r="A5" s="166">
        <v>45464</v>
      </c>
      <c r="B5" s="87">
        <v>100</v>
      </c>
      <c r="D5" s="166">
        <v>45500</v>
      </c>
      <c r="E5" s="87">
        <v>50</v>
      </c>
    </row>
    <row r="6" spans="1:26" ht="13.5" customHeight="1" x14ac:dyDescent="0.3">
      <c r="A6" s="166">
        <v>45478</v>
      </c>
      <c r="B6" s="87">
        <v>50</v>
      </c>
      <c r="D6" s="166">
        <v>45506</v>
      </c>
      <c r="E6" s="87">
        <v>50</v>
      </c>
    </row>
    <row r="7" spans="1:26" ht="13.5" customHeight="1" x14ac:dyDescent="0.3">
      <c r="A7" s="166">
        <v>45485</v>
      </c>
      <c r="B7" s="87">
        <v>100</v>
      </c>
      <c r="D7" s="166">
        <v>45532</v>
      </c>
      <c r="E7" s="87">
        <v>70</v>
      </c>
      <c r="F7" s="1"/>
    </row>
    <row r="8" spans="1:26" ht="13.5" customHeight="1" x14ac:dyDescent="0.3">
      <c r="A8" s="166">
        <v>45492</v>
      </c>
      <c r="B8" s="87">
        <v>100</v>
      </c>
      <c r="D8" s="166">
        <v>45566</v>
      </c>
      <c r="E8" s="87">
        <v>50</v>
      </c>
    </row>
    <row r="9" spans="1:26" ht="13.5" customHeight="1" x14ac:dyDescent="0.3">
      <c r="A9" s="166">
        <v>45499</v>
      </c>
      <c r="B9" s="87">
        <v>50</v>
      </c>
      <c r="D9" s="166">
        <v>45570</v>
      </c>
      <c r="E9" s="87">
        <v>-20</v>
      </c>
    </row>
    <row r="10" spans="1:26" ht="13.5" customHeight="1" x14ac:dyDescent="0.3">
      <c r="A10" s="166">
        <v>45506</v>
      </c>
      <c r="B10" s="87">
        <v>100</v>
      </c>
      <c r="D10" s="166">
        <v>45580</v>
      </c>
      <c r="E10" s="87">
        <v>40</v>
      </c>
    </row>
    <row r="11" spans="1:26" ht="13.5" customHeight="1" x14ac:dyDescent="0.3">
      <c r="A11" s="166">
        <v>45513</v>
      </c>
      <c r="B11" s="87">
        <v>50</v>
      </c>
    </row>
    <row r="12" spans="1:26" ht="13.5" customHeight="1" x14ac:dyDescent="0.3">
      <c r="A12" s="166">
        <v>45520</v>
      </c>
      <c r="B12" s="87">
        <v>50</v>
      </c>
    </row>
    <row r="13" spans="1:26" ht="13.5" customHeight="1" x14ac:dyDescent="0.3">
      <c r="A13" s="166">
        <v>45527</v>
      </c>
      <c r="B13" s="87">
        <v>50</v>
      </c>
    </row>
    <row r="14" spans="1:26" ht="13.5" customHeight="1" x14ac:dyDescent="0.3">
      <c r="A14" s="166">
        <v>45534</v>
      </c>
      <c r="B14" s="87">
        <v>50</v>
      </c>
    </row>
    <row r="15" spans="1:26" ht="13.5" customHeight="1" x14ac:dyDescent="0.3">
      <c r="A15" s="166">
        <v>45541</v>
      </c>
      <c r="B15" s="87">
        <v>50</v>
      </c>
    </row>
    <row r="16" spans="1:26" ht="13.5" customHeight="1" x14ac:dyDescent="0.3">
      <c r="A16" s="166">
        <v>45548</v>
      </c>
      <c r="B16" s="87">
        <v>50</v>
      </c>
    </row>
    <row r="17" spans="1:5" ht="13.5" customHeight="1" x14ac:dyDescent="0.3">
      <c r="A17" s="166">
        <v>45555</v>
      </c>
    </row>
    <row r="18" spans="1:5" ht="13.5" customHeight="1" x14ac:dyDescent="0.3">
      <c r="A18" s="166">
        <v>45562</v>
      </c>
    </row>
    <row r="19" spans="1:5" ht="13.5" customHeight="1" x14ac:dyDescent="0.3"/>
    <row r="20" spans="1:5" ht="13.5" customHeight="1" x14ac:dyDescent="0.3"/>
    <row r="21" spans="1:5" ht="13.5" customHeight="1" x14ac:dyDescent="0.3"/>
    <row r="22" spans="1:5" ht="13.5" customHeight="1" x14ac:dyDescent="0.3">
      <c r="A22" s="87" t="s">
        <v>762</v>
      </c>
      <c r="B22" s="87">
        <f>SUM(B4:B21)</f>
        <v>900</v>
      </c>
      <c r="D22" s="1" t="s">
        <v>762</v>
      </c>
      <c r="E22" s="1">
        <f>SUM(E4:E21)</f>
        <v>290</v>
      </c>
    </row>
    <row r="23" spans="1:5" ht="13.5" customHeight="1" x14ac:dyDescent="0.3">
      <c r="A23" s="87" t="s">
        <v>763</v>
      </c>
      <c r="B23" s="21">
        <f>B3-B22</f>
        <v>1126.6666666666667</v>
      </c>
      <c r="D23" s="1" t="s">
        <v>763</v>
      </c>
      <c r="E23" s="21">
        <f>E3-E22</f>
        <v>149</v>
      </c>
    </row>
    <row r="24" spans="1:5" ht="13.5" customHeight="1" x14ac:dyDescent="0.3"/>
    <row r="25" spans="1:5" ht="13.5" customHeight="1" x14ac:dyDescent="0.3"/>
    <row r="26" spans="1:5" ht="13.5" customHeight="1" x14ac:dyDescent="0.3"/>
    <row r="27" spans="1:5" ht="13.5" customHeight="1" x14ac:dyDescent="0.3"/>
    <row r="28" spans="1:5" ht="13.5" customHeight="1" x14ac:dyDescent="0.3"/>
    <row r="29" spans="1:5" ht="13.5" customHeight="1" x14ac:dyDescent="0.3"/>
    <row r="30" spans="1:5" ht="13.5" customHeight="1" x14ac:dyDescent="0.3"/>
    <row r="31" spans="1:5" ht="13.5" customHeight="1" x14ac:dyDescent="0.3"/>
    <row r="32" spans="1:5"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6640625" defaultRowHeight="15" customHeight="1" x14ac:dyDescent="0.3"/>
  <cols>
    <col min="1" max="1" width="2.5" customWidth="1"/>
    <col min="2" max="2" width="18.5" customWidth="1"/>
    <col min="3" max="6" width="10.5" customWidth="1"/>
  </cols>
  <sheetData>
    <row r="1" spans="1:5" ht="14.25" customHeight="1" x14ac:dyDescent="0.3">
      <c r="A1" s="167" t="s">
        <v>764</v>
      </c>
      <c r="B1" s="167"/>
      <c r="C1" s="167" t="s">
        <v>765</v>
      </c>
      <c r="D1" s="168" t="s">
        <v>766</v>
      </c>
    </row>
    <row r="2" spans="1:5" ht="14.25" customHeight="1" x14ac:dyDescent="0.35">
      <c r="A2" s="169">
        <v>1</v>
      </c>
      <c r="B2" s="170" t="s">
        <v>767</v>
      </c>
      <c r="C2" s="170">
        <v>8.6</v>
      </c>
      <c r="D2" s="171">
        <v>3</v>
      </c>
      <c r="E2" s="104">
        <f t="shared" ref="E2:E51" si="0">C2*D2</f>
        <v>25.799999999999997</v>
      </c>
    </row>
    <row r="3" spans="1:5" ht="14.25" customHeight="1" x14ac:dyDescent="0.3">
      <c r="A3" s="172">
        <v>1</v>
      </c>
      <c r="B3" s="173" t="s">
        <v>768</v>
      </c>
      <c r="C3" s="173">
        <v>7.2</v>
      </c>
      <c r="D3" s="174">
        <v>1</v>
      </c>
      <c r="E3" s="1">
        <f t="shared" si="0"/>
        <v>7.2</v>
      </c>
    </row>
    <row r="4" spans="1:5" ht="14.25" customHeight="1" x14ac:dyDescent="0.3">
      <c r="A4" s="169">
        <v>1</v>
      </c>
      <c r="B4" s="170" t="s">
        <v>769</v>
      </c>
      <c r="C4" s="170">
        <v>7.8</v>
      </c>
      <c r="D4" s="171">
        <v>3</v>
      </c>
      <c r="E4" s="1">
        <f t="shared" si="0"/>
        <v>23.4</v>
      </c>
    </row>
    <row r="5" spans="1:5" ht="14.25" customHeight="1" x14ac:dyDescent="0.3">
      <c r="A5" s="172">
        <v>1</v>
      </c>
      <c r="B5" s="173" t="s">
        <v>770</v>
      </c>
      <c r="C5" s="173">
        <v>7.3</v>
      </c>
      <c r="D5" s="174">
        <v>3</v>
      </c>
      <c r="E5" s="1">
        <f t="shared" si="0"/>
        <v>21.9</v>
      </c>
    </row>
    <row r="6" spans="1:5" ht="14.25" customHeight="1" x14ac:dyDescent="0.3">
      <c r="A6" s="169">
        <v>1</v>
      </c>
      <c r="B6" s="170" t="s">
        <v>771</v>
      </c>
      <c r="C6" s="170">
        <v>9</v>
      </c>
      <c r="D6" s="171">
        <v>3</v>
      </c>
      <c r="E6" s="1">
        <f t="shared" si="0"/>
        <v>27</v>
      </c>
    </row>
    <row r="7" spans="1:5" ht="14.25" customHeight="1" x14ac:dyDescent="0.3">
      <c r="A7" s="172">
        <v>2</v>
      </c>
      <c r="B7" s="173" t="s">
        <v>772</v>
      </c>
      <c r="C7" s="173">
        <v>7.1</v>
      </c>
      <c r="D7" s="174">
        <v>3</v>
      </c>
      <c r="E7" s="1">
        <f t="shared" si="0"/>
        <v>21.299999999999997</v>
      </c>
    </row>
    <row r="8" spans="1:5" ht="14.25" customHeight="1" x14ac:dyDescent="0.3">
      <c r="A8" s="169">
        <v>2</v>
      </c>
      <c r="B8" s="170" t="s">
        <v>773</v>
      </c>
      <c r="C8" s="170">
        <v>7.9</v>
      </c>
      <c r="D8" s="171">
        <v>3</v>
      </c>
      <c r="E8" s="1">
        <f t="shared" si="0"/>
        <v>23.700000000000003</v>
      </c>
    </row>
    <row r="9" spans="1:5" ht="14.25" customHeight="1" x14ac:dyDescent="0.3">
      <c r="A9" s="172">
        <v>2</v>
      </c>
      <c r="B9" s="173" t="s">
        <v>774</v>
      </c>
      <c r="C9" s="173">
        <v>8.6999999999999993</v>
      </c>
      <c r="D9" s="174">
        <v>3</v>
      </c>
      <c r="E9" s="1">
        <f t="shared" si="0"/>
        <v>26.099999999999998</v>
      </c>
    </row>
    <row r="10" spans="1:5" ht="14.25" customHeight="1" x14ac:dyDescent="0.3">
      <c r="A10" s="169">
        <v>2</v>
      </c>
      <c r="B10" s="170" t="s">
        <v>775</v>
      </c>
      <c r="C10" s="170">
        <v>8.6999999999999993</v>
      </c>
      <c r="D10" s="171">
        <v>3</v>
      </c>
      <c r="E10" s="1">
        <f t="shared" si="0"/>
        <v>26.099999999999998</v>
      </c>
    </row>
    <row r="11" spans="1:5" ht="14.25" customHeight="1" x14ac:dyDescent="0.3">
      <c r="A11" s="169">
        <v>3</v>
      </c>
      <c r="B11" s="170" t="s">
        <v>776</v>
      </c>
      <c r="C11" s="170">
        <v>6.5</v>
      </c>
      <c r="D11" s="171">
        <v>3</v>
      </c>
      <c r="E11" s="1">
        <f t="shared" si="0"/>
        <v>19.5</v>
      </c>
    </row>
    <row r="12" spans="1:5" ht="14.25" customHeight="1" x14ac:dyDescent="0.3">
      <c r="A12" s="172">
        <v>3</v>
      </c>
      <c r="B12" s="173" t="s">
        <v>777</v>
      </c>
      <c r="C12" s="173">
        <v>6.8</v>
      </c>
      <c r="D12" s="174">
        <v>3</v>
      </c>
      <c r="E12" s="1">
        <f t="shared" si="0"/>
        <v>20.399999999999999</v>
      </c>
    </row>
    <row r="13" spans="1:5" ht="14.25" customHeight="1" x14ac:dyDescent="0.3">
      <c r="A13" s="169">
        <v>3</v>
      </c>
      <c r="B13" s="170" t="s">
        <v>778</v>
      </c>
      <c r="C13" s="170">
        <v>7.6</v>
      </c>
      <c r="D13" s="171">
        <v>2</v>
      </c>
      <c r="E13" s="1">
        <f t="shared" si="0"/>
        <v>15.2</v>
      </c>
    </row>
    <row r="14" spans="1:5" ht="14.25" customHeight="1" x14ac:dyDescent="0.3">
      <c r="A14" s="172">
        <v>3</v>
      </c>
      <c r="B14" s="173" t="s">
        <v>779</v>
      </c>
      <c r="C14" s="173">
        <v>7.2</v>
      </c>
      <c r="D14" s="174">
        <v>3</v>
      </c>
      <c r="E14" s="1">
        <f t="shared" si="0"/>
        <v>21.6</v>
      </c>
    </row>
    <row r="15" spans="1:5" ht="14.25" customHeight="1" x14ac:dyDescent="0.3">
      <c r="A15" s="172">
        <v>4</v>
      </c>
      <c r="B15" s="173" t="s">
        <v>780</v>
      </c>
      <c r="C15" s="173">
        <v>7.7</v>
      </c>
      <c r="D15" s="174">
        <v>3</v>
      </c>
      <c r="E15" s="1">
        <f t="shared" si="0"/>
        <v>23.1</v>
      </c>
    </row>
    <row r="16" spans="1:5" ht="14.25" customHeight="1" x14ac:dyDescent="0.3">
      <c r="A16" s="169">
        <v>4</v>
      </c>
      <c r="B16" s="170" t="s">
        <v>781</v>
      </c>
      <c r="C16" s="170">
        <v>8.6</v>
      </c>
      <c r="D16" s="171">
        <v>3</v>
      </c>
      <c r="E16" s="1">
        <f t="shared" si="0"/>
        <v>25.799999999999997</v>
      </c>
    </row>
    <row r="17" spans="1:5" ht="14.25" customHeight="1" x14ac:dyDescent="0.3">
      <c r="A17" s="172">
        <v>4</v>
      </c>
      <c r="B17" s="173" t="s">
        <v>782</v>
      </c>
      <c r="C17" s="173">
        <v>9</v>
      </c>
      <c r="D17" s="174">
        <v>3</v>
      </c>
      <c r="E17" s="1">
        <f t="shared" si="0"/>
        <v>27</v>
      </c>
    </row>
    <row r="18" spans="1:5" ht="14.25" customHeight="1" x14ac:dyDescent="0.3">
      <c r="A18" s="169">
        <v>4</v>
      </c>
      <c r="B18" s="170" t="s">
        <v>783</v>
      </c>
      <c r="C18" s="170">
        <v>8.3000000000000007</v>
      </c>
      <c r="D18" s="171">
        <v>3</v>
      </c>
      <c r="E18" s="1">
        <f t="shared" si="0"/>
        <v>24.900000000000002</v>
      </c>
    </row>
    <row r="19" spans="1:5" ht="14.25" customHeight="1" x14ac:dyDescent="0.3">
      <c r="A19" s="172">
        <v>4</v>
      </c>
      <c r="B19" s="175" t="s">
        <v>784</v>
      </c>
      <c r="C19" s="175">
        <v>8.6999999999999993</v>
      </c>
      <c r="D19" s="176">
        <v>3</v>
      </c>
      <c r="E19" s="1">
        <f t="shared" si="0"/>
        <v>26.099999999999998</v>
      </c>
    </row>
    <row r="20" spans="1:5" ht="14.25" customHeight="1" x14ac:dyDescent="0.3">
      <c r="A20" s="169">
        <v>5</v>
      </c>
      <c r="B20" s="170" t="s">
        <v>785</v>
      </c>
      <c r="C20" s="170">
        <v>7.8</v>
      </c>
      <c r="D20" s="171">
        <v>3</v>
      </c>
      <c r="E20" s="1">
        <f t="shared" si="0"/>
        <v>23.4</v>
      </c>
    </row>
    <row r="21" spans="1:5" ht="14.25" customHeight="1" x14ac:dyDescent="0.3">
      <c r="A21" s="172">
        <v>5</v>
      </c>
      <c r="B21" s="173" t="s">
        <v>786</v>
      </c>
      <c r="C21" s="173">
        <v>7.2</v>
      </c>
      <c r="D21" s="174">
        <v>3</v>
      </c>
      <c r="E21" s="1">
        <f t="shared" si="0"/>
        <v>21.6</v>
      </c>
    </row>
    <row r="22" spans="1:5" ht="14.25" customHeight="1" x14ac:dyDescent="0.3">
      <c r="A22" s="169">
        <v>5</v>
      </c>
      <c r="B22" s="170" t="s">
        <v>787</v>
      </c>
      <c r="C22" s="170">
        <v>9</v>
      </c>
      <c r="D22" s="171">
        <v>2</v>
      </c>
      <c r="E22" s="1">
        <f t="shared" si="0"/>
        <v>18</v>
      </c>
    </row>
    <row r="23" spans="1:5" ht="14.25" customHeight="1" x14ac:dyDescent="0.3">
      <c r="A23" s="172">
        <v>5</v>
      </c>
      <c r="B23" s="173" t="s">
        <v>788</v>
      </c>
      <c r="C23" s="173">
        <v>7.8</v>
      </c>
      <c r="D23" s="174">
        <v>3</v>
      </c>
      <c r="E23" s="1">
        <f t="shared" si="0"/>
        <v>23.4</v>
      </c>
    </row>
    <row r="24" spans="1:5" ht="14.25" customHeight="1" x14ac:dyDescent="0.3">
      <c r="A24" s="169">
        <v>5</v>
      </c>
      <c r="B24" s="170" t="s">
        <v>789</v>
      </c>
      <c r="C24" s="170">
        <v>8.5</v>
      </c>
      <c r="D24" s="171">
        <v>3</v>
      </c>
      <c r="E24" s="1">
        <f t="shared" si="0"/>
        <v>25.5</v>
      </c>
    </row>
    <row r="25" spans="1:5" ht="14.25" customHeight="1" x14ac:dyDescent="0.3">
      <c r="A25" s="172">
        <v>6</v>
      </c>
      <c r="B25" s="173" t="s">
        <v>790</v>
      </c>
      <c r="C25" s="173">
        <v>9.3000000000000007</v>
      </c>
      <c r="D25" s="174">
        <v>4</v>
      </c>
      <c r="E25" s="1">
        <f t="shared" si="0"/>
        <v>37.200000000000003</v>
      </c>
    </row>
    <row r="26" spans="1:5" ht="14.25" customHeight="1" x14ac:dyDescent="0.3">
      <c r="A26" s="169">
        <v>6</v>
      </c>
      <c r="B26" s="170" t="s">
        <v>791</v>
      </c>
      <c r="C26" s="170">
        <v>8.6</v>
      </c>
      <c r="D26" s="171">
        <v>3</v>
      </c>
      <c r="E26" s="1">
        <f t="shared" si="0"/>
        <v>25.799999999999997</v>
      </c>
    </row>
    <row r="27" spans="1:5" ht="14.25" customHeight="1" x14ac:dyDescent="0.3">
      <c r="A27" s="172">
        <v>6</v>
      </c>
      <c r="B27" s="173" t="s">
        <v>792</v>
      </c>
      <c r="C27" s="173">
        <v>8.6</v>
      </c>
      <c r="D27" s="174">
        <v>3</v>
      </c>
      <c r="E27" s="1">
        <f t="shared" si="0"/>
        <v>25.799999999999997</v>
      </c>
    </row>
    <row r="28" spans="1:5" ht="14.25" customHeight="1" x14ac:dyDescent="0.3">
      <c r="A28" s="169">
        <v>6</v>
      </c>
      <c r="B28" s="170" t="s">
        <v>793</v>
      </c>
      <c r="C28" s="170">
        <v>8</v>
      </c>
      <c r="D28" s="171">
        <v>3</v>
      </c>
      <c r="E28" s="1">
        <f t="shared" si="0"/>
        <v>24</v>
      </c>
    </row>
    <row r="29" spans="1:5" ht="14.25" customHeight="1" x14ac:dyDescent="0.3">
      <c r="A29" s="172">
        <v>6</v>
      </c>
      <c r="B29" s="173" t="s">
        <v>794</v>
      </c>
      <c r="C29" s="173">
        <v>8.9</v>
      </c>
      <c r="D29" s="174">
        <v>3</v>
      </c>
      <c r="E29" s="1">
        <f t="shared" si="0"/>
        <v>26.700000000000003</v>
      </c>
    </row>
    <row r="30" spans="1:5" ht="14.25" customHeight="1" x14ac:dyDescent="0.3">
      <c r="A30" s="169">
        <v>7</v>
      </c>
      <c r="B30" s="170" t="s">
        <v>795</v>
      </c>
      <c r="C30" s="170">
        <v>10</v>
      </c>
      <c r="D30" s="171">
        <v>2</v>
      </c>
      <c r="E30" s="1">
        <f t="shared" si="0"/>
        <v>20</v>
      </c>
    </row>
    <row r="31" spans="1:5" ht="14.25" customHeight="1" x14ac:dyDescent="0.3">
      <c r="A31" s="172">
        <v>7</v>
      </c>
      <c r="B31" s="173" t="s">
        <v>796</v>
      </c>
      <c r="C31" s="173">
        <v>6.6</v>
      </c>
      <c r="D31" s="174">
        <v>3</v>
      </c>
      <c r="E31" s="1">
        <f t="shared" si="0"/>
        <v>19.799999999999997</v>
      </c>
    </row>
    <row r="32" spans="1:5" ht="14.25" customHeight="1" x14ac:dyDescent="0.3">
      <c r="A32" s="169">
        <v>7</v>
      </c>
      <c r="B32" s="170" t="s">
        <v>797</v>
      </c>
      <c r="C32" s="170">
        <v>9</v>
      </c>
      <c r="D32" s="171">
        <v>3</v>
      </c>
      <c r="E32" s="1">
        <f t="shared" si="0"/>
        <v>27</v>
      </c>
    </row>
    <row r="33" spans="1:5" ht="14.25" customHeight="1" x14ac:dyDescent="0.3">
      <c r="A33" s="172">
        <v>7</v>
      </c>
      <c r="B33" s="173" t="s">
        <v>798</v>
      </c>
      <c r="C33" s="173">
        <v>7</v>
      </c>
      <c r="D33" s="174">
        <v>3</v>
      </c>
      <c r="E33" s="1">
        <f t="shared" si="0"/>
        <v>21</v>
      </c>
    </row>
    <row r="34" spans="1:5" ht="14.25" customHeight="1" x14ac:dyDescent="0.3">
      <c r="A34" s="169">
        <v>7</v>
      </c>
      <c r="B34" s="170" t="s">
        <v>799</v>
      </c>
      <c r="C34" s="170">
        <v>7.5</v>
      </c>
      <c r="D34" s="171">
        <v>3</v>
      </c>
      <c r="E34" s="1">
        <f t="shared" si="0"/>
        <v>22.5</v>
      </c>
    </row>
    <row r="35" spans="1:5" ht="14.25" customHeight="1" x14ac:dyDescent="0.3">
      <c r="A35" s="172">
        <v>8</v>
      </c>
      <c r="B35" s="173" t="s">
        <v>800</v>
      </c>
      <c r="C35" s="173">
        <v>9</v>
      </c>
      <c r="D35" s="174">
        <v>3</v>
      </c>
      <c r="E35" s="1">
        <f t="shared" si="0"/>
        <v>27</v>
      </c>
    </row>
    <row r="36" spans="1:5" ht="14.25" customHeight="1" x14ac:dyDescent="0.3">
      <c r="A36" s="169">
        <v>8</v>
      </c>
      <c r="B36" s="170" t="s">
        <v>801</v>
      </c>
      <c r="C36" s="170">
        <v>7.8</v>
      </c>
      <c r="D36" s="171">
        <v>3</v>
      </c>
      <c r="E36" s="1">
        <f t="shared" si="0"/>
        <v>23.4</v>
      </c>
    </row>
    <row r="37" spans="1:5" ht="14.25" customHeight="1" x14ac:dyDescent="0.3">
      <c r="A37" s="172">
        <v>8</v>
      </c>
      <c r="B37" s="173" t="s">
        <v>802</v>
      </c>
      <c r="C37" s="173">
        <v>8.1</v>
      </c>
      <c r="D37" s="174">
        <v>3</v>
      </c>
      <c r="E37" s="1">
        <f t="shared" si="0"/>
        <v>24.299999999999997</v>
      </c>
    </row>
    <row r="38" spans="1:5" ht="14.25" customHeight="1" x14ac:dyDescent="0.3">
      <c r="A38" s="169">
        <v>8</v>
      </c>
      <c r="B38" s="177" t="s">
        <v>803</v>
      </c>
      <c r="C38" s="177">
        <v>9.5</v>
      </c>
      <c r="D38" s="178">
        <v>3</v>
      </c>
      <c r="E38" s="1">
        <f t="shared" si="0"/>
        <v>28.5</v>
      </c>
    </row>
    <row r="39" spans="1:5" ht="14.25" customHeight="1" x14ac:dyDescent="0.3">
      <c r="A39" s="169">
        <v>9</v>
      </c>
      <c r="B39" s="170" t="s">
        <v>804</v>
      </c>
      <c r="C39" s="170">
        <v>8.9</v>
      </c>
      <c r="D39" s="171">
        <v>1</v>
      </c>
      <c r="E39" s="1">
        <f t="shared" si="0"/>
        <v>8.9</v>
      </c>
    </row>
    <row r="40" spans="1:5" ht="14.25" customHeight="1" x14ac:dyDescent="0.3">
      <c r="A40" s="172">
        <v>9</v>
      </c>
      <c r="B40" s="173" t="s">
        <v>805</v>
      </c>
      <c r="C40" s="173">
        <v>8.5</v>
      </c>
      <c r="D40" s="174">
        <v>4</v>
      </c>
      <c r="E40" s="1">
        <f t="shared" si="0"/>
        <v>34</v>
      </c>
    </row>
    <row r="41" spans="1:5" ht="14.25" customHeight="1" x14ac:dyDescent="0.3">
      <c r="A41" s="169">
        <v>9</v>
      </c>
      <c r="B41" s="170" t="s">
        <v>806</v>
      </c>
      <c r="C41" s="170">
        <v>9</v>
      </c>
      <c r="D41" s="171">
        <v>3</v>
      </c>
      <c r="E41" s="1">
        <f t="shared" si="0"/>
        <v>27</v>
      </c>
    </row>
    <row r="42" spans="1:5" ht="14.25" customHeight="1" x14ac:dyDescent="0.3">
      <c r="A42" s="172">
        <v>9</v>
      </c>
      <c r="B42" s="173" t="s">
        <v>807</v>
      </c>
      <c r="C42" s="173">
        <v>9.1999999999999993</v>
      </c>
      <c r="D42" s="174">
        <v>3</v>
      </c>
      <c r="E42" s="1">
        <f t="shared" si="0"/>
        <v>27.599999999999998</v>
      </c>
    </row>
    <row r="43" spans="1:5" ht="14.25" customHeight="1" x14ac:dyDescent="0.3">
      <c r="A43" s="172">
        <v>10</v>
      </c>
      <c r="B43" s="175" t="s">
        <v>808</v>
      </c>
      <c r="C43" s="175">
        <v>9.1</v>
      </c>
      <c r="D43" s="176">
        <v>3</v>
      </c>
      <c r="E43" s="1">
        <f t="shared" si="0"/>
        <v>27.299999999999997</v>
      </c>
    </row>
    <row r="44" spans="1:5" ht="14.25" customHeight="1" x14ac:dyDescent="0.3">
      <c r="A44" s="169">
        <v>10</v>
      </c>
      <c r="B44" s="177" t="s">
        <v>809</v>
      </c>
      <c r="C44" s="177">
        <v>9.6</v>
      </c>
      <c r="D44" s="178">
        <v>4</v>
      </c>
      <c r="E44" s="1">
        <f t="shared" si="0"/>
        <v>38.4</v>
      </c>
    </row>
    <row r="45" spans="1:5" ht="14.25" customHeight="1" x14ac:dyDescent="0.3">
      <c r="A45" s="172">
        <v>10</v>
      </c>
      <c r="B45" s="175" t="s">
        <v>810</v>
      </c>
      <c r="C45" s="175">
        <v>8.1999999999999993</v>
      </c>
      <c r="D45" s="176">
        <v>3</v>
      </c>
      <c r="E45" s="1">
        <f t="shared" si="0"/>
        <v>24.599999999999998</v>
      </c>
    </row>
    <row r="46" spans="1:5" ht="14.25" customHeight="1" x14ac:dyDescent="0.3">
      <c r="A46" s="169" t="s">
        <v>811</v>
      </c>
      <c r="B46" s="170" t="s">
        <v>812</v>
      </c>
      <c r="C46" s="170">
        <v>8.6</v>
      </c>
      <c r="D46" s="171">
        <v>3</v>
      </c>
      <c r="E46" s="1">
        <f t="shared" si="0"/>
        <v>25.799999999999997</v>
      </c>
    </row>
    <row r="47" spans="1:5" ht="14.25" customHeight="1" x14ac:dyDescent="0.3">
      <c r="A47" s="172" t="s">
        <v>811</v>
      </c>
      <c r="B47" s="173" t="s">
        <v>813</v>
      </c>
      <c r="C47" s="173">
        <v>9.9</v>
      </c>
      <c r="D47" s="174">
        <v>3</v>
      </c>
      <c r="E47" s="1">
        <f t="shared" si="0"/>
        <v>29.700000000000003</v>
      </c>
    </row>
    <row r="48" spans="1:5" ht="14.25" customHeight="1" x14ac:dyDescent="0.3">
      <c r="A48" s="169" t="s">
        <v>811</v>
      </c>
      <c r="B48" s="170" t="s">
        <v>814</v>
      </c>
      <c r="C48" s="170">
        <v>9.1</v>
      </c>
      <c r="D48" s="171">
        <v>3</v>
      </c>
      <c r="E48" s="1">
        <f t="shared" si="0"/>
        <v>27.299999999999997</v>
      </c>
    </row>
    <row r="49" spans="1:6" ht="14.25" customHeight="1" x14ac:dyDescent="0.3">
      <c r="A49" s="172" t="s">
        <v>811</v>
      </c>
      <c r="B49" s="173" t="s">
        <v>815</v>
      </c>
      <c r="C49" s="173">
        <v>8.6</v>
      </c>
      <c r="D49" s="174">
        <v>3</v>
      </c>
      <c r="E49" s="1">
        <f t="shared" si="0"/>
        <v>25.799999999999997</v>
      </c>
    </row>
    <row r="50" spans="1:6" ht="14.25" customHeight="1" x14ac:dyDescent="0.3">
      <c r="A50" s="169" t="s">
        <v>811</v>
      </c>
      <c r="B50" s="170" t="s">
        <v>816</v>
      </c>
      <c r="C50" s="170">
        <v>9.6999999999999993</v>
      </c>
      <c r="D50" s="171">
        <v>3</v>
      </c>
      <c r="E50" s="1">
        <f t="shared" si="0"/>
        <v>29.099999999999998</v>
      </c>
    </row>
    <row r="51" spans="1:6" ht="14.25" customHeight="1" x14ac:dyDescent="0.3">
      <c r="A51" s="172" t="s">
        <v>811</v>
      </c>
      <c r="B51" s="173" t="s">
        <v>817</v>
      </c>
      <c r="C51" s="173">
        <v>10</v>
      </c>
      <c r="D51" s="174">
        <v>3</v>
      </c>
      <c r="E51" s="1">
        <f t="shared" si="0"/>
        <v>30</v>
      </c>
    </row>
    <row r="52" spans="1:6" ht="14.25" customHeight="1" x14ac:dyDescent="0.35">
      <c r="E52" s="1">
        <f>SUM(E2:E51)</f>
        <v>1226.4999999999995</v>
      </c>
      <c r="F52" s="104">
        <f>E52/146</f>
        <v>8.4006849315068468</v>
      </c>
    </row>
    <row r="53" spans="1:6" ht="14.25" customHeight="1" x14ac:dyDescent="0.3"/>
    <row r="54" spans="1:6" ht="14.25" customHeight="1" x14ac:dyDescent="0.3"/>
    <row r="55" spans="1:6" ht="14.25" customHeight="1" x14ac:dyDescent="0.3"/>
    <row r="56" spans="1:6" ht="14.25" customHeight="1" x14ac:dyDescent="0.3"/>
    <row r="57" spans="1:6" ht="14.25" customHeight="1" x14ac:dyDescent="0.3"/>
    <row r="58" spans="1:6" ht="14.25" customHeight="1" x14ac:dyDescent="0.3"/>
    <row r="59" spans="1:6" ht="14.25" customHeight="1" x14ac:dyDescent="0.3"/>
    <row r="60" spans="1:6" ht="14.25" customHeight="1" x14ac:dyDescent="0.3"/>
    <row r="61" spans="1:6" ht="14.25" customHeight="1" x14ac:dyDescent="0.3"/>
    <row r="62" spans="1:6" ht="14.25" customHeight="1" x14ac:dyDescent="0.3"/>
    <row r="63" spans="1:6" ht="14.25" customHeight="1" x14ac:dyDescent="0.3"/>
    <row r="64" spans="1:6"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568CB-E3FA-4FE3-B318-BC6DDD05BFFE}">
  <dimension ref="A1:F32"/>
  <sheetViews>
    <sheetView tabSelected="1" view="pageBreakPreview" zoomScale="96" zoomScaleNormal="100" zoomScaleSheetLayoutView="96" workbookViewId="0">
      <selection activeCell="B1" sqref="B1:F1"/>
    </sheetView>
  </sheetViews>
  <sheetFormatPr baseColWidth="10" defaultRowHeight="14" x14ac:dyDescent="0.3"/>
  <cols>
    <col min="1" max="1" width="12.5" customWidth="1"/>
    <col min="2" max="2" width="28.1640625" customWidth="1"/>
    <col min="3" max="3" width="8" bestFit="1" customWidth="1"/>
    <col min="4" max="4" width="10.75" customWidth="1"/>
    <col min="5" max="5" width="14" customWidth="1"/>
    <col min="6" max="6" width="17" customWidth="1"/>
  </cols>
  <sheetData>
    <row r="1" spans="1:6" ht="69" customHeight="1" thickBot="1" x14ac:dyDescent="0.35">
      <c r="A1" s="324"/>
      <c r="B1" s="326" t="s">
        <v>1051</v>
      </c>
      <c r="C1" s="327"/>
      <c r="D1" s="327"/>
      <c r="E1" s="327"/>
      <c r="F1" s="328"/>
    </row>
    <row r="2" spans="1:6" ht="14.5" thickBot="1" x14ac:dyDescent="0.35">
      <c r="A2" s="325"/>
      <c r="B2" s="329" t="s">
        <v>1052</v>
      </c>
      <c r="C2" s="330"/>
      <c r="D2" s="330"/>
      <c r="E2" s="330"/>
      <c r="F2" s="331"/>
    </row>
    <row r="3" spans="1:6" ht="14.5" thickBot="1" x14ac:dyDescent="0.35">
      <c r="A3" s="332" t="s">
        <v>1053</v>
      </c>
      <c r="B3" s="333"/>
      <c r="C3" s="333"/>
      <c r="D3" s="333"/>
      <c r="E3" s="333"/>
      <c r="F3" s="334"/>
    </row>
    <row r="4" spans="1:6" ht="65" customHeight="1" thickBot="1" x14ac:dyDescent="0.35">
      <c r="A4" s="335" t="s">
        <v>1083</v>
      </c>
      <c r="B4" s="336"/>
      <c r="C4" s="336"/>
      <c r="D4" s="336"/>
      <c r="E4" s="336"/>
      <c r="F4" s="337"/>
    </row>
    <row r="5" spans="1:6" ht="30.5" customHeight="1" thickBot="1" x14ac:dyDescent="0.35">
      <c r="A5" s="315" t="s">
        <v>1084</v>
      </c>
      <c r="B5" s="316"/>
      <c r="C5" s="316"/>
      <c r="D5" s="316"/>
      <c r="E5" s="316"/>
      <c r="F5" s="317"/>
    </row>
    <row r="6" spans="1:6" ht="27.5" customHeight="1" thickBot="1" x14ac:dyDescent="0.35">
      <c r="A6" s="318" t="s">
        <v>1085</v>
      </c>
      <c r="B6" s="319"/>
      <c r="C6" s="319"/>
      <c r="D6" s="319"/>
      <c r="E6" s="319"/>
      <c r="F6" s="320"/>
    </row>
    <row r="7" spans="1:6" x14ac:dyDescent="0.3">
      <c r="A7" s="291" t="s">
        <v>1054</v>
      </c>
      <c r="B7" s="292" t="s">
        <v>1055</v>
      </c>
      <c r="C7" s="292" t="s">
        <v>1046</v>
      </c>
      <c r="D7" s="292" t="s">
        <v>1047</v>
      </c>
      <c r="E7" s="292" t="s">
        <v>1056</v>
      </c>
      <c r="F7" s="293" t="s">
        <v>1057</v>
      </c>
    </row>
    <row r="8" spans="1:6" ht="23" x14ac:dyDescent="0.3">
      <c r="A8" s="294">
        <v>1</v>
      </c>
      <c r="B8" s="287" t="s">
        <v>1066</v>
      </c>
      <c r="C8" s="289" t="s">
        <v>1081</v>
      </c>
      <c r="D8" s="290">
        <v>102792</v>
      </c>
      <c r="E8" s="288" t="s">
        <v>1058</v>
      </c>
      <c r="F8" s="295" t="s">
        <v>1058</v>
      </c>
    </row>
    <row r="9" spans="1:6" s="283" customFormat="1" ht="23" x14ac:dyDescent="0.3">
      <c r="A9" s="294">
        <v>2</v>
      </c>
      <c r="B9" s="287" t="s">
        <v>1048</v>
      </c>
      <c r="C9" s="289" t="s">
        <v>1081</v>
      </c>
      <c r="D9" s="290">
        <v>9923</v>
      </c>
      <c r="E9" s="288" t="s">
        <v>1058</v>
      </c>
      <c r="F9" s="295" t="s">
        <v>1058</v>
      </c>
    </row>
    <row r="10" spans="1:6" s="283" customFormat="1" ht="23" x14ac:dyDescent="0.3">
      <c r="A10" s="294">
        <v>3</v>
      </c>
      <c r="B10" s="287" t="s">
        <v>1049</v>
      </c>
      <c r="C10" s="289" t="s">
        <v>1081</v>
      </c>
      <c r="D10" s="290">
        <v>7651</v>
      </c>
      <c r="E10" s="288" t="s">
        <v>1058</v>
      </c>
      <c r="F10" s="295" t="s">
        <v>1058</v>
      </c>
    </row>
    <row r="11" spans="1:6" s="283" customFormat="1" x14ac:dyDescent="0.3">
      <c r="A11" s="294">
        <v>4</v>
      </c>
      <c r="B11" s="287" t="s">
        <v>1050</v>
      </c>
      <c r="C11" s="289" t="s">
        <v>1082</v>
      </c>
      <c r="D11" s="290">
        <v>2000</v>
      </c>
      <c r="E11" s="288" t="s">
        <v>1058</v>
      </c>
      <c r="F11" s="295" t="s">
        <v>1058</v>
      </c>
    </row>
    <row r="12" spans="1:6" s="283" customFormat="1" ht="23" x14ac:dyDescent="0.3">
      <c r="A12" s="294">
        <v>5</v>
      </c>
      <c r="B12" s="287" t="s">
        <v>1067</v>
      </c>
      <c r="C12" s="289" t="s">
        <v>1082</v>
      </c>
      <c r="D12" s="290">
        <v>1</v>
      </c>
      <c r="E12" s="288" t="s">
        <v>1058</v>
      </c>
      <c r="F12" s="295" t="s">
        <v>1058</v>
      </c>
    </row>
    <row r="13" spans="1:6" s="283" customFormat="1" ht="23" x14ac:dyDescent="0.3">
      <c r="A13" s="294">
        <v>6</v>
      </c>
      <c r="B13" s="287" t="s">
        <v>1068</v>
      </c>
      <c r="C13" s="289" t="s">
        <v>1082</v>
      </c>
      <c r="D13" s="290">
        <v>2</v>
      </c>
      <c r="E13" s="288" t="s">
        <v>1058</v>
      </c>
      <c r="F13" s="295" t="s">
        <v>1058</v>
      </c>
    </row>
    <row r="14" spans="1:6" s="283" customFormat="1" ht="23" x14ac:dyDescent="0.3">
      <c r="A14" s="294">
        <v>7</v>
      </c>
      <c r="B14" s="287" t="s">
        <v>1069</v>
      </c>
      <c r="C14" s="289" t="s">
        <v>1082</v>
      </c>
      <c r="D14" s="290">
        <v>3</v>
      </c>
      <c r="E14" s="288" t="s">
        <v>1058</v>
      </c>
      <c r="F14" s="295" t="s">
        <v>1058</v>
      </c>
    </row>
    <row r="15" spans="1:6" s="283" customFormat="1" ht="23" x14ac:dyDescent="0.3">
      <c r="A15" s="294">
        <v>8</v>
      </c>
      <c r="B15" s="287" t="s">
        <v>1070</v>
      </c>
      <c r="C15" s="289" t="s">
        <v>1082</v>
      </c>
      <c r="D15" s="290">
        <v>1</v>
      </c>
      <c r="E15" s="288" t="s">
        <v>1058</v>
      </c>
      <c r="F15" s="295" t="s">
        <v>1058</v>
      </c>
    </row>
    <row r="16" spans="1:6" s="283" customFormat="1" ht="23" x14ac:dyDescent="0.3">
      <c r="A16" s="294">
        <v>9</v>
      </c>
      <c r="B16" s="287" t="s">
        <v>1071</v>
      </c>
      <c r="C16" s="289" t="s">
        <v>1082</v>
      </c>
      <c r="D16" s="290">
        <v>1</v>
      </c>
      <c r="E16" s="288" t="s">
        <v>1058</v>
      </c>
      <c r="F16" s="295" t="s">
        <v>1058</v>
      </c>
    </row>
    <row r="17" spans="1:6" s="283" customFormat="1" ht="23" x14ac:dyDescent="0.3">
      <c r="A17" s="294">
        <v>10</v>
      </c>
      <c r="B17" s="287" t="s">
        <v>1072</v>
      </c>
      <c r="C17" s="289" t="s">
        <v>1082</v>
      </c>
      <c r="D17" s="290">
        <v>1</v>
      </c>
      <c r="E17" s="288" t="s">
        <v>1058</v>
      </c>
      <c r="F17" s="295" t="s">
        <v>1058</v>
      </c>
    </row>
    <row r="18" spans="1:6" s="283" customFormat="1" ht="23" x14ac:dyDescent="0.3">
      <c r="A18" s="294">
        <v>11</v>
      </c>
      <c r="B18" s="287" t="s">
        <v>1073</v>
      </c>
      <c r="C18" s="289" t="s">
        <v>1082</v>
      </c>
      <c r="D18" s="290">
        <v>1</v>
      </c>
      <c r="E18" s="288" t="s">
        <v>1058</v>
      </c>
      <c r="F18" s="295" t="s">
        <v>1058</v>
      </c>
    </row>
    <row r="19" spans="1:6" s="283" customFormat="1" ht="23" x14ac:dyDescent="0.3">
      <c r="A19" s="294">
        <v>12</v>
      </c>
      <c r="B19" s="287" t="s">
        <v>1074</v>
      </c>
      <c r="C19" s="289" t="s">
        <v>1082</v>
      </c>
      <c r="D19" s="290">
        <v>300</v>
      </c>
      <c r="E19" s="288" t="s">
        <v>1058</v>
      </c>
      <c r="F19" s="295" t="s">
        <v>1058</v>
      </c>
    </row>
    <row r="20" spans="1:6" s="283" customFormat="1" x14ac:dyDescent="0.3">
      <c r="A20" s="294">
        <v>13</v>
      </c>
      <c r="B20" s="287" t="s">
        <v>1075</v>
      </c>
      <c r="C20" s="289" t="s">
        <v>1082</v>
      </c>
      <c r="D20" s="290">
        <v>1</v>
      </c>
      <c r="E20" s="288" t="s">
        <v>1058</v>
      </c>
      <c r="F20" s="295" t="s">
        <v>1058</v>
      </c>
    </row>
    <row r="21" spans="1:6" s="283" customFormat="1" x14ac:dyDescent="0.3">
      <c r="A21" s="294">
        <v>14</v>
      </c>
      <c r="B21" s="287" t="s">
        <v>1076</v>
      </c>
      <c r="C21" s="289" t="s">
        <v>1082</v>
      </c>
      <c r="D21" s="290">
        <v>1</v>
      </c>
      <c r="E21" s="288" t="s">
        <v>1058</v>
      </c>
      <c r="F21" s="295" t="s">
        <v>1058</v>
      </c>
    </row>
    <row r="22" spans="1:6" s="283" customFormat="1" ht="34.5" x14ac:dyDescent="0.3">
      <c r="A22" s="294">
        <v>15</v>
      </c>
      <c r="B22" s="287" t="s">
        <v>1077</v>
      </c>
      <c r="C22" s="289" t="s">
        <v>1082</v>
      </c>
      <c r="D22" s="290">
        <v>1030</v>
      </c>
      <c r="E22" s="288" t="s">
        <v>1058</v>
      </c>
      <c r="F22" s="295" t="s">
        <v>1058</v>
      </c>
    </row>
    <row r="23" spans="1:6" s="283" customFormat="1" x14ac:dyDescent="0.3">
      <c r="A23" s="294">
        <v>16</v>
      </c>
      <c r="B23" s="287" t="s">
        <v>1078</v>
      </c>
      <c r="C23" s="289" t="s">
        <v>1082</v>
      </c>
      <c r="D23" s="290">
        <v>1030</v>
      </c>
      <c r="E23" s="288" t="s">
        <v>1058</v>
      </c>
      <c r="F23" s="295" t="s">
        <v>1058</v>
      </c>
    </row>
    <row r="24" spans="1:6" s="283" customFormat="1" x14ac:dyDescent="0.3">
      <c r="A24" s="294">
        <v>17</v>
      </c>
      <c r="B24" s="287" t="s">
        <v>1079</v>
      </c>
      <c r="C24" s="289" t="s">
        <v>1082</v>
      </c>
      <c r="D24" s="290">
        <v>1030</v>
      </c>
      <c r="E24" s="288" t="s">
        <v>1058</v>
      </c>
      <c r="F24" s="295" t="s">
        <v>1058</v>
      </c>
    </row>
    <row r="25" spans="1:6" s="283" customFormat="1" ht="14.5" thickBot="1" x14ac:dyDescent="0.35">
      <c r="A25" s="298">
        <v>18</v>
      </c>
      <c r="B25" s="299" t="s">
        <v>1080</v>
      </c>
      <c r="C25" s="300" t="s">
        <v>1082</v>
      </c>
      <c r="D25" s="301">
        <v>1</v>
      </c>
      <c r="E25" s="302" t="s">
        <v>1058</v>
      </c>
      <c r="F25" s="303" t="s">
        <v>1058</v>
      </c>
    </row>
    <row r="26" spans="1:6" ht="14.5" thickBot="1" x14ac:dyDescent="0.35">
      <c r="A26" s="321" t="s">
        <v>1059</v>
      </c>
      <c r="B26" s="322"/>
      <c r="C26" s="322"/>
      <c r="D26" s="322"/>
      <c r="E26" s="323"/>
      <c r="F26" s="296" t="s">
        <v>1058</v>
      </c>
    </row>
    <row r="27" spans="1:6" ht="14.5" thickBot="1" x14ac:dyDescent="0.35">
      <c r="A27" s="309" t="s">
        <v>1060</v>
      </c>
      <c r="B27" s="310"/>
      <c r="C27" s="310"/>
      <c r="D27" s="311"/>
      <c r="E27" s="285"/>
      <c r="F27" s="296" t="s">
        <v>1058</v>
      </c>
    </row>
    <row r="28" spans="1:6" ht="14.5" thickBot="1" x14ac:dyDescent="0.35">
      <c r="A28" s="309" t="s">
        <v>1061</v>
      </c>
      <c r="B28" s="310"/>
      <c r="C28" s="310"/>
      <c r="D28" s="311"/>
      <c r="E28" s="285"/>
      <c r="F28" s="296" t="s">
        <v>1058</v>
      </c>
    </row>
    <row r="29" spans="1:6" ht="14.5" thickBot="1" x14ac:dyDescent="0.35">
      <c r="A29" s="309" t="s">
        <v>1062</v>
      </c>
      <c r="B29" s="310"/>
      <c r="C29" s="310"/>
      <c r="D29" s="311"/>
      <c r="E29" s="285"/>
      <c r="F29" s="296" t="s">
        <v>1058</v>
      </c>
    </row>
    <row r="30" spans="1:6" ht="14.5" thickBot="1" x14ac:dyDescent="0.35">
      <c r="A30" s="309" t="s">
        <v>1063</v>
      </c>
      <c r="B30" s="310"/>
      <c r="C30" s="310"/>
      <c r="D30" s="311"/>
      <c r="E30" s="286">
        <v>0.19</v>
      </c>
      <c r="F30" s="296" t="s">
        <v>1058</v>
      </c>
    </row>
    <row r="31" spans="1:6" ht="14.5" thickBot="1" x14ac:dyDescent="0.35">
      <c r="A31" s="309" t="s">
        <v>1064</v>
      </c>
      <c r="B31" s="310"/>
      <c r="C31" s="310"/>
      <c r="D31" s="310"/>
      <c r="E31" s="311"/>
      <c r="F31" s="296" t="s">
        <v>1058</v>
      </c>
    </row>
    <row r="32" spans="1:6" ht="14.5" customHeight="1" thickBot="1" x14ac:dyDescent="0.35">
      <c r="A32" s="312" t="s">
        <v>1065</v>
      </c>
      <c r="B32" s="313"/>
      <c r="C32" s="313"/>
      <c r="D32" s="313"/>
      <c r="E32" s="314"/>
      <c r="F32" s="297" t="s">
        <v>1058</v>
      </c>
    </row>
  </sheetData>
  <mergeCells count="14">
    <mergeCell ref="A5:F5"/>
    <mergeCell ref="A6:F6"/>
    <mergeCell ref="A26:E26"/>
    <mergeCell ref="A27:D27"/>
    <mergeCell ref="A1:A2"/>
    <mergeCell ref="B1:F1"/>
    <mergeCell ref="B2:F2"/>
    <mergeCell ref="A3:F3"/>
    <mergeCell ref="A4:F4"/>
    <mergeCell ref="A28:D28"/>
    <mergeCell ref="A29:D29"/>
    <mergeCell ref="A30:D30"/>
    <mergeCell ref="A31:E31"/>
    <mergeCell ref="A32:E32"/>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opLeftCell="A111" workbookViewId="0">
      <selection activeCell="A101" sqref="A101"/>
    </sheetView>
  </sheetViews>
  <sheetFormatPr baseColWidth="10" defaultColWidth="12.6640625" defaultRowHeight="15" customHeight="1" x14ac:dyDescent="0.3"/>
  <cols>
    <col min="1" max="1" width="11.9140625" customWidth="1"/>
    <col min="2" max="2" width="17" customWidth="1"/>
    <col min="3" max="3" width="16.4140625" customWidth="1"/>
    <col min="4" max="4" width="14" customWidth="1"/>
    <col min="5" max="5" width="13.5" customWidth="1"/>
    <col min="6" max="6" width="20" customWidth="1"/>
    <col min="7" max="7" width="12.9140625" customWidth="1"/>
    <col min="8" max="8" width="10" customWidth="1"/>
    <col min="9" max="25" width="9.4140625" customWidth="1"/>
    <col min="26" max="26" width="12.5" customWidth="1"/>
  </cols>
  <sheetData>
    <row r="1" spans="1:7" ht="15" customHeight="1" x14ac:dyDescent="0.3">
      <c r="B1" s="1" t="s">
        <v>0</v>
      </c>
      <c r="C1" s="2"/>
      <c r="D1" s="2"/>
      <c r="E1" s="2" t="s">
        <v>1</v>
      </c>
      <c r="F1" s="2"/>
    </row>
    <row r="2" spans="1:7" ht="15" customHeight="1" x14ac:dyDescent="0.3">
      <c r="A2" s="3">
        <v>42426</v>
      </c>
      <c r="B2" s="4" t="s">
        <v>2</v>
      </c>
      <c r="C2" s="5">
        <v>303370</v>
      </c>
      <c r="D2" s="5" t="s">
        <v>3</v>
      </c>
      <c r="E2" s="5">
        <v>4336000</v>
      </c>
      <c r="F2" s="2"/>
    </row>
    <row r="3" spans="1:7" ht="15" customHeight="1" x14ac:dyDescent="0.3">
      <c r="A3" s="3">
        <v>42578</v>
      </c>
      <c r="B3" s="4" t="s">
        <v>4</v>
      </c>
      <c r="C3" s="5">
        <v>10436308</v>
      </c>
      <c r="D3" s="5" t="s">
        <v>3</v>
      </c>
      <c r="E3" s="5">
        <v>4336000</v>
      </c>
      <c r="F3" s="2"/>
    </row>
    <row r="4" spans="1:7" ht="15" customHeight="1" x14ac:dyDescent="0.3">
      <c r="A4" s="3">
        <v>42802</v>
      </c>
      <c r="B4" s="4" t="s">
        <v>5</v>
      </c>
      <c r="C4" s="5">
        <v>10500987</v>
      </c>
      <c r="D4" s="5" t="s">
        <v>3</v>
      </c>
      <c r="E4" s="5">
        <v>4662000</v>
      </c>
      <c r="F4" s="2"/>
    </row>
    <row r="5" spans="1:7" ht="15" customHeight="1" x14ac:dyDescent="0.3">
      <c r="A5" s="3">
        <v>42976</v>
      </c>
      <c r="B5" s="4" t="s">
        <v>6</v>
      </c>
      <c r="C5" s="5">
        <v>10540125</v>
      </c>
      <c r="D5" s="5" t="s">
        <v>3</v>
      </c>
      <c r="E5" s="5">
        <v>4662000</v>
      </c>
      <c r="F5" s="2"/>
    </row>
    <row r="6" spans="1:7" ht="15" customHeight="1" x14ac:dyDescent="0.3">
      <c r="A6" s="3">
        <v>43139</v>
      </c>
      <c r="B6" s="4" t="s">
        <v>7</v>
      </c>
      <c r="C6" s="5">
        <v>10587493</v>
      </c>
      <c r="D6" s="5" t="s">
        <v>3</v>
      </c>
      <c r="E6" s="5">
        <v>4863000</v>
      </c>
      <c r="F6" s="2"/>
    </row>
    <row r="7" spans="1:7" ht="15" customHeight="1" x14ac:dyDescent="0.3">
      <c r="A7" s="3">
        <v>43294</v>
      </c>
      <c r="B7" s="4" t="s">
        <v>8</v>
      </c>
      <c r="C7" s="5">
        <v>10639280</v>
      </c>
      <c r="D7" s="5" t="s">
        <v>3</v>
      </c>
      <c r="E7" s="5">
        <v>4863000</v>
      </c>
      <c r="F7" s="2"/>
    </row>
    <row r="8" spans="1:7" ht="15" customHeight="1" x14ac:dyDescent="0.3">
      <c r="A8" s="3">
        <v>43500</v>
      </c>
      <c r="B8" s="4" t="s">
        <v>9</v>
      </c>
      <c r="C8" s="5">
        <v>10699697</v>
      </c>
      <c r="D8" s="5" t="s">
        <v>3</v>
      </c>
      <c r="E8" s="5">
        <v>5092000</v>
      </c>
      <c r="F8" s="2"/>
    </row>
    <row r="9" spans="1:7" ht="15" customHeight="1" x14ac:dyDescent="0.3">
      <c r="A9" s="3">
        <v>43669</v>
      </c>
      <c r="B9" s="4" t="s">
        <v>10</v>
      </c>
      <c r="C9" s="5">
        <v>10754491</v>
      </c>
      <c r="D9" s="5" t="s">
        <v>3</v>
      </c>
      <c r="E9" s="5">
        <v>5092000</v>
      </c>
      <c r="F9" s="2"/>
    </row>
    <row r="10" spans="1:7" ht="15" customHeight="1" x14ac:dyDescent="0.3">
      <c r="A10" s="3">
        <v>43880</v>
      </c>
      <c r="B10" s="4" t="s">
        <v>11</v>
      </c>
      <c r="C10" s="5">
        <v>10822378</v>
      </c>
      <c r="D10" s="5" t="s">
        <v>3</v>
      </c>
      <c r="E10" s="5">
        <v>5296000</v>
      </c>
      <c r="F10" s="2"/>
    </row>
    <row r="11" spans="1:7" ht="15" customHeight="1" x14ac:dyDescent="0.3">
      <c r="A11" s="3">
        <v>44035</v>
      </c>
      <c r="B11" s="4" t="s">
        <v>12</v>
      </c>
      <c r="C11" s="5">
        <v>10871864</v>
      </c>
      <c r="D11" s="5" t="s">
        <v>3</v>
      </c>
      <c r="E11" s="5">
        <v>4236800</v>
      </c>
      <c r="F11" s="2"/>
    </row>
    <row r="12" spans="1:7" ht="15" customHeight="1" x14ac:dyDescent="0.3">
      <c r="C12" s="2"/>
      <c r="D12" s="6" t="s">
        <v>13</v>
      </c>
      <c r="E12" s="5">
        <f>SUM(E2:E11)</f>
        <v>47438800</v>
      </c>
      <c r="F12" s="5"/>
      <c r="G12" s="2"/>
    </row>
    <row r="13" spans="1:7" ht="14" x14ac:dyDescent="0.3">
      <c r="C13" s="2"/>
      <c r="D13" s="2"/>
      <c r="E13" s="2"/>
      <c r="F13" s="2"/>
    </row>
    <row r="14" spans="1:7" ht="15" customHeight="1" x14ac:dyDescent="0.3">
      <c r="A14" s="1"/>
      <c r="B14" s="1"/>
      <c r="C14" s="2"/>
      <c r="D14" s="2"/>
      <c r="E14" s="2"/>
      <c r="F14" s="2"/>
    </row>
    <row r="15" spans="1:7" ht="29.25" customHeight="1" x14ac:dyDescent="0.3">
      <c r="A15" s="7" t="s">
        <v>14</v>
      </c>
      <c r="B15" s="338" t="s">
        <v>15</v>
      </c>
      <c r="C15" s="340" t="s">
        <v>16</v>
      </c>
      <c r="D15" s="8" t="s">
        <v>17</v>
      </c>
      <c r="E15" s="8" t="s">
        <v>18</v>
      </c>
      <c r="F15" s="8" t="s">
        <v>19</v>
      </c>
      <c r="G15" s="7" t="s">
        <v>20</v>
      </c>
    </row>
    <row r="16" spans="1:7" ht="15.75" customHeight="1" x14ac:dyDescent="0.3">
      <c r="A16" s="9" t="s">
        <v>21</v>
      </c>
      <c r="B16" s="339"/>
      <c r="C16" s="339"/>
      <c r="D16" s="10" t="s">
        <v>22</v>
      </c>
      <c r="E16" s="10" t="s">
        <v>23</v>
      </c>
      <c r="F16" s="10" t="s">
        <v>24</v>
      </c>
      <c r="G16" s="9" t="s">
        <v>25</v>
      </c>
    </row>
    <row r="17" spans="1:26" ht="15.75" customHeight="1" x14ac:dyDescent="0.3">
      <c r="A17" s="3">
        <v>44300</v>
      </c>
      <c r="B17" s="5">
        <v>191274</v>
      </c>
      <c r="C17" s="5">
        <v>191070</v>
      </c>
      <c r="D17" s="5">
        <v>203</v>
      </c>
      <c r="E17" s="5">
        <v>0</v>
      </c>
      <c r="F17" s="5">
        <v>0</v>
      </c>
      <c r="G17" s="11">
        <v>0</v>
      </c>
      <c r="H17" s="2"/>
      <c r="I17" s="1"/>
      <c r="J17" s="1"/>
      <c r="K17" s="1"/>
      <c r="L17" s="1"/>
      <c r="M17" s="1"/>
      <c r="N17" s="1"/>
      <c r="O17" s="1"/>
      <c r="P17" s="1"/>
      <c r="Q17" s="1"/>
      <c r="R17" s="1"/>
      <c r="S17" s="1"/>
      <c r="T17" s="1"/>
      <c r="U17" s="1"/>
      <c r="V17" s="1"/>
      <c r="W17" s="1"/>
      <c r="X17" s="1"/>
      <c r="Y17" s="1"/>
      <c r="Z17" s="1"/>
    </row>
    <row r="18" spans="1:26" ht="15.75" customHeight="1" x14ac:dyDescent="0.3">
      <c r="A18" s="3">
        <v>44273</v>
      </c>
      <c r="B18" s="5">
        <v>191445</v>
      </c>
      <c r="C18" s="5">
        <v>190935</v>
      </c>
      <c r="D18" s="5">
        <v>509</v>
      </c>
      <c r="E18" s="5">
        <v>0</v>
      </c>
      <c r="F18" s="5">
        <v>0</v>
      </c>
      <c r="G18" s="11">
        <v>0</v>
      </c>
      <c r="H18" s="2"/>
      <c r="I18" s="1"/>
      <c r="J18" s="1"/>
      <c r="K18" s="1"/>
      <c r="L18" s="1"/>
      <c r="M18" s="1"/>
      <c r="N18" s="1"/>
      <c r="O18" s="1"/>
      <c r="P18" s="1"/>
      <c r="Q18" s="1"/>
      <c r="R18" s="1"/>
      <c r="S18" s="1"/>
      <c r="T18" s="1"/>
      <c r="U18" s="1"/>
      <c r="V18" s="1"/>
      <c r="W18" s="1"/>
      <c r="X18" s="1"/>
      <c r="Y18" s="1"/>
      <c r="Z18" s="1"/>
    </row>
    <row r="19" spans="1:26" ht="15.75" customHeight="1" x14ac:dyDescent="0.3">
      <c r="A19" s="3">
        <v>44239</v>
      </c>
      <c r="B19" s="5">
        <v>191445</v>
      </c>
      <c r="C19" s="5">
        <v>190851.51</v>
      </c>
      <c r="D19" s="5">
        <v>593.49</v>
      </c>
      <c r="E19" s="5">
        <v>0</v>
      </c>
      <c r="F19" s="5">
        <v>0</v>
      </c>
      <c r="G19" s="11">
        <v>0</v>
      </c>
      <c r="H19" s="2"/>
      <c r="I19" s="1"/>
      <c r="J19" s="1"/>
      <c r="K19" s="1"/>
      <c r="L19" s="1"/>
      <c r="M19" s="1"/>
      <c r="N19" s="1"/>
      <c r="O19" s="1"/>
      <c r="P19" s="1"/>
      <c r="Q19" s="1"/>
      <c r="R19" s="1"/>
      <c r="S19" s="1"/>
      <c r="T19" s="1"/>
      <c r="U19" s="1"/>
      <c r="V19" s="1"/>
      <c r="W19" s="1"/>
      <c r="X19" s="1"/>
      <c r="Y19" s="1"/>
      <c r="Z19" s="1"/>
    </row>
    <row r="20" spans="1:26" ht="15.75" customHeight="1" x14ac:dyDescent="0.3">
      <c r="A20" s="3">
        <v>44210</v>
      </c>
      <c r="B20" s="5">
        <v>191970</v>
      </c>
      <c r="C20" s="5">
        <v>189593.86</v>
      </c>
      <c r="D20" s="5">
        <v>2376.14</v>
      </c>
      <c r="E20" s="5">
        <v>0</v>
      </c>
      <c r="F20" s="5">
        <v>0</v>
      </c>
      <c r="G20" s="11">
        <v>0</v>
      </c>
      <c r="H20" s="2"/>
      <c r="I20" s="1"/>
      <c r="J20" s="1"/>
      <c r="K20" s="1"/>
      <c r="L20" s="1"/>
      <c r="M20" s="1"/>
      <c r="N20" s="1"/>
      <c r="O20" s="1"/>
      <c r="P20" s="1"/>
      <c r="Q20" s="1"/>
      <c r="R20" s="1"/>
      <c r="S20" s="1"/>
      <c r="T20" s="1"/>
      <c r="U20" s="1"/>
      <c r="V20" s="1"/>
      <c r="W20" s="1"/>
      <c r="X20" s="1"/>
      <c r="Y20" s="1"/>
      <c r="Z20" s="1"/>
    </row>
    <row r="21" spans="1:26" ht="15.75" customHeight="1" x14ac:dyDescent="0.3">
      <c r="A21" s="3">
        <v>44172</v>
      </c>
      <c r="B21" s="5">
        <v>191970</v>
      </c>
      <c r="C21" s="5">
        <v>189004.78</v>
      </c>
      <c r="D21" s="5">
        <v>2965.22</v>
      </c>
      <c r="E21" s="5">
        <v>0</v>
      </c>
      <c r="F21" s="5">
        <v>0</v>
      </c>
      <c r="G21" s="11">
        <v>0</v>
      </c>
      <c r="H21" s="2"/>
      <c r="I21" s="1"/>
      <c r="J21" s="1"/>
      <c r="K21" s="1"/>
      <c r="L21" s="1"/>
      <c r="M21" s="1"/>
      <c r="N21" s="1"/>
      <c r="O21" s="1"/>
      <c r="P21" s="1"/>
      <c r="Q21" s="1"/>
      <c r="R21" s="1"/>
      <c r="S21" s="1"/>
      <c r="T21" s="1"/>
      <c r="U21" s="1"/>
      <c r="V21" s="1"/>
      <c r="W21" s="1"/>
      <c r="X21" s="1"/>
      <c r="Y21" s="1"/>
      <c r="Z21" s="1"/>
    </row>
    <row r="22" spans="1:26" ht="15.75" customHeight="1" x14ac:dyDescent="0.3">
      <c r="A22" s="3">
        <v>44141</v>
      </c>
      <c r="B22" s="5">
        <v>191970</v>
      </c>
      <c r="C22" s="5">
        <v>188417.56</v>
      </c>
      <c r="D22" s="5">
        <v>3552.44</v>
      </c>
      <c r="E22" s="5">
        <v>0</v>
      </c>
      <c r="F22" s="5">
        <v>0</v>
      </c>
      <c r="G22" s="11">
        <v>0</v>
      </c>
      <c r="H22" s="2"/>
      <c r="I22" s="1"/>
      <c r="J22" s="1"/>
      <c r="K22" s="1"/>
      <c r="L22" s="1"/>
      <c r="M22" s="1"/>
      <c r="N22" s="1"/>
      <c r="O22" s="1"/>
      <c r="P22" s="1"/>
      <c r="Q22" s="1"/>
      <c r="R22" s="1"/>
      <c r="S22" s="1"/>
      <c r="T22" s="1"/>
      <c r="U22" s="1"/>
      <c r="V22" s="1"/>
      <c r="W22" s="1"/>
      <c r="X22" s="1"/>
      <c r="Y22" s="1"/>
      <c r="Z22" s="1"/>
    </row>
    <row r="23" spans="1:26" ht="15.75" customHeight="1" x14ac:dyDescent="0.35">
      <c r="A23" s="3">
        <v>44110</v>
      </c>
      <c r="B23" s="5">
        <v>191970</v>
      </c>
      <c r="C23" s="5">
        <v>187832.14</v>
      </c>
      <c r="D23" s="5">
        <v>4137.8599999999997</v>
      </c>
      <c r="E23" s="5">
        <v>0</v>
      </c>
      <c r="F23" s="5">
        <v>0</v>
      </c>
      <c r="G23" s="11">
        <v>0</v>
      </c>
      <c r="H23" s="2"/>
      <c r="I23" s="12"/>
      <c r="J23" s="12"/>
      <c r="K23" s="12"/>
      <c r="L23" s="12"/>
      <c r="M23" s="12"/>
      <c r="N23" s="12"/>
      <c r="O23" s="12"/>
      <c r="P23" s="12"/>
      <c r="Q23" s="12"/>
      <c r="R23" s="12"/>
      <c r="S23" s="12"/>
      <c r="T23" s="12"/>
      <c r="U23" s="12"/>
      <c r="V23" s="12"/>
      <c r="W23" s="12"/>
      <c r="X23" s="12"/>
      <c r="Y23" s="12"/>
      <c r="Z23" s="12"/>
    </row>
    <row r="24" spans="1:26" ht="15.75" customHeight="1" x14ac:dyDescent="0.3">
      <c r="A24" s="3">
        <v>44081</v>
      </c>
      <c r="B24" s="5">
        <v>213155</v>
      </c>
      <c r="C24" s="5">
        <v>186833.45</v>
      </c>
      <c r="D24" s="5">
        <v>5179</v>
      </c>
      <c r="E24" s="5">
        <v>0</v>
      </c>
      <c r="F24" s="5">
        <v>21197</v>
      </c>
      <c r="G24" s="11">
        <v>0</v>
      </c>
      <c r="H24" s="2"/>
      <c r="I24" s="1"/>
      <c r="J24" s="1"/>
      <c r="K24" s="1"/>
      <c r="L24" s="1"/>
      <c r="M24" s="1"/>
      <c r="N24" s="1"/>
      <c r="O24" s="1"/>
      <c r="P24" s="1"/>
      <c r="Q24" s="1"/>
      <c r="R24" s="1"/>
      <c r="S24" s="1"/>
      <c r="T24" s="1"/>
      <c r="U24" s="1"/>
      <c r="V24" s="1"/>
      <c r="W24" s="1"/>
      <c r="X24" s="1"/>
      <c r="Y24" s="1"/>
    </row>
    <row r="25" spans="1:26" ht="15.75" customHeight="1" x14ac:dyDescent="0.3">
      <c r="A25" s="3">
        <v>44053</v>
      </c>
      <c r="B25" s="5">
        <v>293312</v>
      </c>
      <c r="C25" s="5">
        <v>229760.13</v>
      </c>
      <c r="D25" s="5">
        <v>0</v>
      </c>
      <c r="E25" s="5">
        <v>0</v>
      </c>
      <c r="F25" s="5">
        <v>63551.87</v>
      </c>
      <c r="G25" s="11">
        <v>0</v>
      </c>
      <c r="H25" s="2"/>
      <c r="I25" s="1"/>
      <c r="J25" s="1"/>
      <c r="K25" s="1"/>
      <c r="L25" s="1"/>
      <c r="M25" s="1"/>
      <c r="N25" s="1"/>
      <c r="O25" s="1"/>
      <c r="P25" s="1"/>
      <c r="Q25" s="1"/>
      <c r="R25" s="1"/>
      <c r="S25" s="1"/>
      <c r="T25" s="1"/>
      <c r="U25" s="1"/>
      <c r="V25" s="1"/>
      <c r="W25" s="1"/>
      <c r="X25" s="1"/>
      <c r="Y25" s="1"/>
    </row>
    <row r="26" spans="1:26" ht="15.75" customHeight="1" x14ac:dyDescent="0.3">
      <c r="A26" s="3">
        <v>44020</v>
      </c>
      <c r="B26" s="5">
        <v>228086</v>
      </c>
      <c r="C26" s="5">
        <v>218300.17</v>
      </c>
      <c r="D26" s="5">
        <v>9785.83</v>
      </c>
      <c r="E26" s="5">
        <v>0</v>
      </c>
      <c r="F26" s="5">
        <v>0</v>
      </c>
      <c r="G26" s="11">
        <v>0</v>
      </c>
      <c r="H26" s="2"/>
      <c r="I26" s="1"/>
      <c r="J26" s="1"/>
      <c r="K26" s="1"/>
      <c r="L26" s="1"/>
      <c r="M26" s="1"/>
      <c r="N26" s="1"/>
      <c r="O26" s="1"/>
      <c r="P26" s="1"/>
      <c r="Q26" s="1"/>
      <c r="R26" s="1"/>
      <c r="S26" s="1"/>
      <c r="T26" s="1"/>
      <c r="U26" s="1"/>
      <c r="V26" s="1"/>
      <c r="W26" s="1"/>
      <c r="X26" s="1"/>
      <c r="Y26" s="1"/>
    </row>
    <row r="27" spans="1:26" ht="15.75" customHeight="1" x14ac:dyDescent="0.3">
      <c r="A27" s="3">
        <v>43991</v>
      </c>
      <c r="B27" s="5">
        <v>228086</v>
      </c>
      <c r="C27" s="5">
        <v>215960.61</v>
      </c>
      <c r="D27" s="5">
        <v>12125.39</v>
      </c>
      <c r="E27" s="5">
        <v>0</v>
      </c>
      <c r="F27" s="5">
        <v>0</v>
      </c>
      <c r="G27" s="11">
        <v>0</v>
      </c>
      <c r="H27" s="2"/>
    </row>
    <row r="28" spans="1:26" ht="15.75" customHeight="1" x14ac:dyDescent="0.3">
      <c r="A28" s="3">
        <v>43963</v>
      </c>
      <c r="B28" s="5">
        <v>228086</v>
      </c>
      <c r="C28" s="5">
        <v>213646.1</v>
      </c>
      <c r="D28" s="5">
        <v>14439.9</v>
      </c>
      <c r="E28" s="5">
        <v>0</v>
      </c>
      <c r="F28" s="5">
        <v>0</v>
      </c>
      <c r="G28" s="11">
        <v>0</v>
      </c>
      <c r="H28" s="2"/>
    </row>
    <row r="29" spans="1:26" ht="15.75" customHeight="1" x14ac:dyDescent="0.3">
      <c r="A29" s="3">
        <v>43934</v>
      </c>
      <c r="B29" s="5">
        <v>254567</v>
      </c>
      <c r="C29" s="5">
        <v>196707.22</v>
      </c>
      <c r="D29" s="5">
        <v>31392.19</v>
      </c>
      <c r="E29" s="5">
        <v>0</v>
      </c>
      <c r="F29" s="5">
        <v>26480.46</v>
      </c>
      <c r="G29" s="11">
        <v>0</v>
      </c>
      <c r="H29" s="2"/>
    </row>
    <row r="30" spans="1:26" ht="15.75" customHeight="1" x14ac:dyDescent="0.3">
      <c r="A30" s="3">
        <v>43899</v>
      </c>
      <c r="B30" s="5">
        <v>287179</v>
      </c>
      <c r="C30" s="5">
        <v>203309.52</v>
      </c>
      <c r="D30" s="5">
        <v>4429.9399999999996</v>
      </c>
      <c r="E30" s="5">
        <v>0</v>
      </c>
      <c r="F30" s="5">
        <v>79439.539999999994</v>
      </c>
      <c r="G30" s="11">
        <v>0</v>
      </c>
      <c r="H30" s="2"/>
    </row>
    <row r="31" spans="1:26" ht="15.75" customHeight="1" x14ac:dyDescent="0.3">
      <c r="A31" s="3">
        <v>43871</v>
      </c>
      <c r="B31" s="5">
        <v>207739</v>
      </c>
      <c r="C31" s="5">
        <v>201037.97</v>
      </c>
      <c r="D31" s="5">
        <v>6701.03</v>
      </c>
      <c r="E31" s="5">
        <v>0</v>
      </c>
      <c r="F31" s="5">
        <v>0</v>
      </c>
      <c r="G31" s="11">
        <v>0</v>
      </c>
      <c r="H31" s="2"/>
    </row>
    <row r="32" spans="1:26" ht="15.75" customHeight="1" x14ac:dyDescent="0.3">
      <c r="A32" s="3">
        <v>43837</v>
      </c>
      <c r="B32" s="5">
        <v>209628</v>
      </c>
      <c r="C32" s="5">
        <v>201253.72</v>
      </c>
      <c r="D32" s="5">
        <v>8415.86</v>
      </c>
      <c r="E32" s="5">
        <v>0</v>
      </c>
      <c r="F32" s="5">
        <v>0</v>
      </c>
      <c r="G32" s="11">
        <v>0</v>
      </c>
      <c r="H32" s="2"/>
    </row>
    <row r="33" spans="1:8" ht="15.75" customHeight="1" x14ac:dyDescent="0.3">
      <c r="A33" s="3">
        <v>43805</v>
      </c>
      <c r="B33" s="5">
        <v>209628</v>
      </c>
      <c r="C33" s="5">
        <v>199187.58</v>
      </c>
      <c r="D33" s="5">
        <v>10482</v>
      </c>
      <c r="E33" s="5">
        <v>0</v>
      </c>
      <c r="F33" s="5">
        <v>0</v>
      </c>
      <c r="G33" s="11">
        <v>0</v>
      </c>
      <c r="H33" s="2"/>
    </row>
    <row r="34" spans="1:8" ht="15.75" customHeight="1" x14ac:dyDescent="0.3">
      <c r="A34" s="3">
        <v>43787</v>
      </c>
      <c r="B34" s="5">
        <v>209629</v>
      </c>
      <c r="C34" s="5">
        <v>197367.61</v>
      </c>
      <c r="D34" s="5">
        <v>12261.39</v>
      </c>
      <c r="E34" s="5">
        <v>0</v>
      </c>
      <c r="F34" s="5">
        <v>0</v>
      </c>
      <c r="G34" s="11">
        <v>0</v>
      </c>
      <c r="H34" s="2"/>
    </row>
    <row r="35" spans="1:8" ht="15.75" customHeight="1" x14ac:dyDescent="0.3">
      <c r="A35" s="3">
        <v>43759</v>
      </c>
      <c r="B35" s="5">
        <v>214000</v>
      </c>
      <c r="C35" s="5">
        <v>199326.32</v>
      </c>
      <c r="D35" s="5">
        <v>14597.7</v>
      </c>
      <c r="E35" s="5">
        <v>75.98</v>
      </c>
      <c r="F35" s="5">
        <v>0</v>
      </c>
      <c r="G35" s="11">
        <v>0</v>
      </c>
      <c r="H35" s="2"/>
    </row>
    <row r="36" spans="1:8" ht="15.75" customHeight="1" x14ac:dyDescent="0.3">
      <c r="A36" s="3">
        <v>43724</v>
      </c>
      <c r="B36" s="5">
        <v>209628</v>
      </c>
      <c r="C36" s="5">
        <v>193069.22</v>
      </c>
      <c r="D36" s="5">
        <v>16600.36</v>
      </c>
      <c r="E36" s="5">
        <v>0</v>
      </c>
      <c r="F36" s="5">
        <v>0</v>
      </c>
      <c r="G36" s="11">
        <v>0</v>
      </c>
      <c r="H36" s="2"/>
    </row>
    <row r="37" spans="1:8" ht="15.75" customHeight="1" x14ac:dyDescent="0.3">
      <c r="A37" s="3">
        <v>43694</v>
      </c>
      <c r="B37" s="5">
        <v>311469</v>
      </c>
      <c r="C37" s="5">
        <v>192353.71</v>
      </c>
      <c r="D37" s="5">
        <v>17275.29</v>
      </c>
      <c r="E37" s="5">
        <v>0</v>
      </c>
      <c r="F37" s="5">
        <v>101840</v>
      </c>
      <c r="G37" s="11">
        <v>0</v>
      </c>
      <c r="H37" s="2"/>
    </row>
    <row r="38" spans="1:8" ht="15.75" customHeight="1" x14ac:dyDescent="0.3">
      <c r="A38" s="3">
        <v>43665</v>
      </c>
      <c r="B38" s="5">
        <v>220222</v>
      </c>
      <c r="C38" s="5">
        <v>212627.34</v>
      </c>
      <c r="D38" s="5">
        <v>7594.66</v>
      </c>
      <c r="E38" s="5">
        <v>0</v>
      </c>
      <c r="F38" s="5">
        <v>0</v>
      </c>
      <c r="G38" s="11">
        <v>0</v>
      </c>
      <c r="H38" s="2"/>
    </row>
    <row r="39" spans="1:8" ht="15.75" customHeight="1" x14ac:dyDescent="0.3">
      <c r="A39" s="3">
        <v>43635</v>
      </c>
      <c r="B39" s="5">
        <v>220250</v>
      </c>
      <c r="C39" s="5">
        <v>210471.69</v>
      </c>
      <c r="D39" s="5">
        <v>9778.31</v>
      </c>
      <c r="E39" s="5">
        <v>0</v>
      </c>
      <c r="F39" s="5">
        <v>0</v>
      </c>
      <c r="G39" s="11">
        <v>0</v>
      </c>
      <c r="H39" s="2"/>
    </row>
    <row r="40" spans="1:8" ht="15.75" customHeight="1" x14ac:dyDescent="0.3">
      <c r="A40" s="3">
        <v>43603</v>
      </c>
      <c r="B40" s="5">
        <v>220222</v>
      </c>
      <c r="C40" s="5">
        <v>208282.76</v>
      </c>
      <c r="D40" s="5">
        <v>11939.24</v>
      </c>
      <c r="E40" s="5">
        <v>0</v>
      </c>
      <c r="F40" s="5">
        <v>0</v>
      </c>
      <c r="G40" s="11">
        <v>0</v>
      </c>
      <c r="H40" s="2"/>
    </row>
    <row r="41" spans="1:8" ht="15.75" customHeight="1" x14ac:dyDescent="0.3">
      <c r="A41" s="3">
        <v>43571</v>
      </c>
      <c r="B41" s="5">
        <v>255230</v>
      </c>
      <c r="C41" s="5">
        <v>183957.46</v>
      </c>
      <c r="D41" s="5">
        <v>36265.040000000001</v>
      </c>
      <c r="E41" s="5">
        <v>0</v>
      </c>
      <c r="F41" s="5">
        <v>35007.5</v>
      </c>
      <c r="G41" s="11">
        <v>0</v>
      </c>
      <c r="H41" s="2"/>
    </row>
    <row r="42" spans="1:8" ht="15.75" customHeight="1" x14ac:dyDescent="0.3">
      <c r="A42" s="3">
        <v>43529</v>
      </c>
      <c r="B42" s="5">
        <v>211000</v>
      </c>
      <c r="C42" s="5">
        <v>210365.75</v>
      </c>
      <c r="D42" s="5">
        <v>0</v>
      </c>
      <c r="E42" s="5">
        <v>634.25</v>
      </c>
      <c r="F42" s="5">
        <v>0</v>
      </c>
      <c r="G42" s="11">
        <v>0</v>
      </c>
      <c r="H42" s="2"/>
    </row>
    <row r="43" spans="1:8" ht="15.75" customHeight="1" x14ac:dyDescent="0.3">
      <c r="A43" s="3">
        <v>43507</v>
      </c>
      <c r="B43" s="5">
        <v>211000</v>
      </c>
      <c r="C43" s="5">
        <v>139666.67000000001</v>
      </c>
      <c r="D43" s="5">
        <v>4261.49</v>
      </c>
      <c r="E43" s="5">
        <v>239.34</v>
      </c>
      <c r="F43" s="5">
        <v>66832.5</v>
      </c>
      <c r="G43" s="11">
        <v>0</v>
      </c>
      <c r="H43" s="2"/>
    </row>
    <row r="44" spans="1:8" ht="15.75" customHeight="1" x14ac:dyDescent="0.3">
      <c r="A44" s="3">
        <v>43473</v>
      </c>
      <c r="B44" s="5">
        <v>211000</v>
      </c>
      <c r="C44" s="5">
        <v>204201.47</v>
      </c>
      <c r="D44" s="5">
        <v>6798.53</v>
      </c>
      <c r="E44" s="5">
        <v>0</v>
      </c>
      <c r="F44" s="5">
        <v>0</v>
      </c>
      <c r="G44" s="11">
        <v>0</v>
      </c>
      <c r="H44" s="2"/>
    </row>
    <row r="45" spans="1:8" ht="15.75" customHeight="1" x14ac:dyDescent="0.3">
      <c r="A45" s="3">
        <v>43437</v>
      </c>
      <c r="B45" s="5">
        <v>212000</v>
      </c>
      <c r="C45" s="5">
        <v>202957.76</v>
      </c>
      <c r="D45" s="5">
        <v>9042.24</v>
      </c>
      <c r="E45" s="5">
        <v>0</v>
      </c>
      <c r="F45" s="5">
        <v>0</v>
      </c>
      <c r="G45" s="11">
        <v>0</v>
      </c>
      <c r="H45" s="2"/>
    </row>
    <row r="46" spans="1:8" ht="15.75" customHeight="1" x14ac:dyDescent="0.3">
      <c r="A46" s="3">
        <v>43404</v>
      </c>
      <c r="B46" s="5">
        <v>210399</v>
      </c>
      <c r="C46" s="5">
        <v>199600.18</v>
      </c>
      <c r="D46" s="5">
        <v>10798.82</v>
      </c>
      <c r="E46" s="5">
        <v>0</v>
      </c>
      <c r="F46" s="5">
        <v>0</v>
      </c>
      <c r="G46" s="11">
        <v>0</v>
      </c>
      <c r="H46" s="2"/>
    </row>
    <row r="47" spans="1:8" ht="15.75" customHeight="1" x14ac:dyDescent="0.3">
      <c r="A47" s="3">
        <v>43381</v>
      </c>
      <c r="B47" s="5">
        <v>295400</v>
      </c>
      <c r="C47" s="5">
        <v>196877</v>
      </c>
      <c r="D47" s="5">
        <v>13420</v>
      </c>
      <c r="E47" s="5">
        <v>0</v>
      </c>
      <c r="F47" s="5">
        <v>85103</v>
      </c>
      <c r="G47" s="11">
        <v>0</v>
      </c>
      <c r="H47" s="2"/>
    </row>
    <row r="48" spans="1:8" ht="15.75" customHeight="1" x14ac:dyDescent="0.3">
      <c r="A48" s="3">
        <v>43349</v>
      </c>
      <c r="B48" s="5">
        <v>210000</v>
      </c>
      <c r="C48" s="5">
        <v>207710.44</v>
      </c>
      <c r="D48" s="5">
        <v>2289.56</v>
      </c>
      <c r="E48" s="5">
        <v>0</v>
      </c>
      <c r="F48" s="5">
        <v>0</v>
      </c>
      <c r="G48" s="11">
        <v>0</v>
      </c>
      <c r="H48" s="2"/>
    </row>
    <row r="49" spans="1:8" ht="15.75" customHeight="1" x14ac:dyDescent="0.3">
      <c r="A49" s="3">
        <v>43320</v>
      </c>
      <c r="B49" s="5">
        <v>211000</v>
      </c>
      <c r="C49" s="5">
        <v>206431.09</v>
      </c>
      <c r="D49" s="5">
        <v>4568.91</v>
      </c>
      <c r="E49" s="5">
        <v>0</v>
      </c>
      <c r="F49" s="5">
        <v>0</v>
      </c>
      <c r="G49" s="11">
        <v>0</v>
      </c>
      <c r="H49" s="2"/>
    </row>
    <row r="50" spans="1:8" ht="15.75" customHeight="1" x14ac:dyDescent="0.3">
      <c r="A50" s="3">
        <v>43279</v>
      </c>
      <c r="B50" s="5">
        <v>210000</v>
      </c>
      <c r="C50" s="5">
        <v>203187.56</v>
      </c>
      <c r="D50" s="5">
        <v>6812.44</v>
      </c>
      <c r="E50" s="5">
        <v>0</v>
      </c>
      <c r="F50" s="5">
        <v>0</v>
      </c>
      <c r="G50" s="11">
        <v>0</v>
      </c>
      <c r="H50" s="2"/>
    </row>
    <row r="51" spans="1:8" ht="15.75" customHeight="1" x14ac:dyDescent="0.3">
      <c r="A51" s="3">
        <v>43258</v>
      </c>
      <c r="B51" s="5">
        <v>211000</v>
      </c>
      <c r="C51" s="5">
        <v>201957.62</v>
      </c>
      <c r="D51" s="5">
        <v>9042.3799999999992</v>
      </c>
      <c r="E51" s="5">
        <v>0</v>
      </c>
      <c r="F51" s="5">
        <v>0</v>
      </c>
      <c r="G51" s="11">
        <v>0</v>
      </c>
      <c r="H51" s="2"/>
    </row>
    <row r="52" spans="1:8" ht="15.75" customHeight="1" x14ac:dyDescent="0.3">
      <c r="A52" s="3">
        <v>43228</v>
      </c>
      <c r="B52" s="5">
        <v>209000</v>
      </c>
      <c r="C52" s="5">
        <v>197773.86</v>
      </c>
      <c r="D52" s="5">
        <v>11226.14</v>
      </c>
      <c r="E52" s="5">
        <v>0</v>
      </c>
      <c r="F52" s="5">
        <v>0</v>
      </c>
      <c r="G52" s="11">
        <v>0</v>
      </c>
      <c r="H52" s="2"/>
    </row>
    <row r="53" spans="1:8" ht="15.75" customHeight="1" x14ac:dyDescent="0.3">
      <c r="A53" s="3">
        <v>43196</v>
      </c>
      <c r="B53" s="5">
        <v>300000</v>
      </c>
      <c r="C53" s="5">
        <v>199042.11</v>
      </c>
      <c r="D53" s="5">
        <v>13423.89</v>
      </c>
      <c r="E53" s="5">
        <v>0</v>
      </c>
      <c r="F53" s="5">
        <v>87534</v>
      </c>
      <c r="G53" s="11">
        <v>0</v>
      </c>
      <c r="H53" s="2"/>
    </row>
    <row r="54" spans="1:8" ht="15.75" customHeight="1" x14ac:dyDescent="0.3">
      <c r="A54" s="3">
        <v>43162</v>
      </c>
      <c r="B54" s="5">
        <v>202376</v>
      </c>
      <c r="C54" s="5">
        <v>200165.85</v>
      </c>
      <c r="D54" s="5">
        <v>2210.15</v>
      </c>
      <c r="E54" s="5">
        <v>0</v>
      </c>
      <c r="F54" s="5">
        <v>0</v>
      </c>
      <c r="G54" s="11">
        <v>0</v>
      </c>
      <c r="H54" s="2"/>
    </row>
    <row r="55" spans="1:8" ht="15.75" customHeight="1" x14ac:dyDescent="0.3">
      <c r="A55" s="3">
        <v>43136</v>
      </c>
      <c r="B55" s="5">
        <v>202700</v>
      </c>
      <c r="C55" s="5">
        <v>197818.08</v>
      </c>
      <c r="D55" s="5">
        <v>4881.92</v>
      </c>
      <c r="E55" s="5">
        <v>0</v>
      </c>
      <c r="F55" s="5">
        <v>0</v>
      </c>
      <c r="G55" s="11">
        <v>0</v>
      </c>
      <c r="H55" s="2"/>
    </row>
    <row r="56" spans="1:8" ht="15.75" customHeight="1" x14ac:dyDescent="0.3">
      <c r="A56" s="3">
        <v>43102</v>
      </c>
      <c r="B56" s="5">
        <v>202600</v>
      </c>
      <c r="C56" s="5">
        <v>195322.12</v>
      </c>
      <c r="D56" s="5">
        <v>7277.88</v>
      </c>
      <c r="E56" s="5">
        <v>0</v>
      </c>
      <c r="F56" s="5">
        <v>0</v>
      </c>
      <c r="G56" s="11">
        <v>0</v>
      </c>
      <c r="H56" s="2"/>
    </row>
    <row r="57" spans="1:8" ht="15.75" customHeight="1" x14ac:dyDescent="0.3">
      <c r="A57" s="3">
        <v>43074</v>
      </c>
      <c r="B57" s="5">
        <v>202600</v>
      </c>
      <c r="C57" s="5">
        <v>193127.38</v>
      </c>
      <c r="D57" s="5">
        <v>9472.6200000000008</v>
      </c>
      <c r="E57" s="5">
        <v>0</v>
      </c>
      <c r="F57" s="5">
        <v>0</v>
      </c>
      <c r="G57" s="11">
        <v>0</v>
      </c>
      <c r="H57" s="2"/>
    </row>
    <row r="58" spans="1:8" ht="15.75" customHeight="1" x14ac:dyDescent="0.3">
      <c r="A58" s="3">
        <v>43048</v>
      </c>
      <c r="B58" s="5">
        <v>203000</v>
      </c>
      <c r="C58" s="5">
        <v>190751.68</v>
      </c>
      <c r="D58" s="5">
        <v>12160.32</v>
      </c>
      <c r="E58" s="5">
        <v>88</v>
      </c>
      <c r="F58" s="5">
        <v>0</v>
      </c>
      <c r="G58" s="11">
        <v>0</v>
      </c>
      <c r="H58" s="2"/>
    </row>
    <row r="59" spans="1:8" ht="15.75" customHeight="1" x14ac:dyDescent="0.3">
      <c r="A59" s="3">
        <v>43017</v>
      </c>
      <c r="B59" s="5">
        <v>272600</v>
      </c>
      <c r="C59" s="5">
        <v>188287.55</v>
      </c>
      <c r="D59" s="5">
        <v>14296.45</v>
      </c>
      <c r="E59" s="5">
        <v>86</v>
      </c>
      <c r="F59" s="5">
        <v>69930</v>
      </c>
      <c r="G59" s="11">
        <v>0</v>
      </c>
      <c r="H59" s="2"/>
    </row>
    <row r="60" spans="1:8" ht="15.75" customHeight="1" x14ac:dyDescent="0.3">
      <c r="A60" s="3">
        <v>42985</v>
      </c>
      <c r="B60" s="5">
        <v>202700</v>
      </c>
      <c r="C60" s="5">
        <v>200244.02</v>
      </c>
      <c r="D60" s="5">
        <v>2455.98</v>
      </c>
      <c r="E60" s="5">
        <v>0</v>
      </c>
      <c r="F60" s="5">
        <v>0</v>
      </c>
      <c r="G60" s="11">
        <v>0</v>
      </c>
      <c r="H60" s="2"/>
    </row>
    <row r="61" spans="1:8" ht="15.75" customHeight="1" x14ac:dyDescent="0.3">
      <c r="A61" s="3">
        <v>42955</v>
      </c>
      <c r="B61" s="5">
        <v>202675</v>
      </c>
      <c r="C61" s="5">
        <v>197792.76</v>
      </c>
      <c r="D61" s="5">
        <v>4882.24</v>
      </c>
      <c r="E61" s="5">
        <v>0</v>
      </c>
      <c r="F61" s="5">
        <v>0</v>
      </c>
      <c r="G61" s="11">
        <v>0</v>
      </c>
      <c r="H61" s="2"/>
    </row>
    <row r="62" spans="1:8" ht="15.75" customHeight="1" x14ac:dyDescent="0.3">
      <c r="A62" s="3">
        <v>42922</v>
      </c>
      <c r="B62" s="5">
        <v>202675</v>
      </c>
      <c r="C62" s="5">
        <v>195395.9</v>
      </c>
      <c r="D62" s="5">
        <v>7279.1</v>
      </c>
      <c r="E62" s="5">
        <v>0</v>
      </c>
      <c r="F62" s="5">
        <v>0</v>
      </c>
      <c r="G62" s="11">
        <v>0</v>
      </c>
      <c r="H62" s="2"/>
    </row>
    <row r="63" spans="1:8" ht="15.75" customHeight="1" x14ac:dyDescent="0.3">
      <c r="A63" s="3">
        <v>42891</v>
      </c>
      <c r="B63" s="5">
        <v>202675</v>
      </c>
      <c r="C63" s="5">
        <v>193028.09</v>
      </c>
      <c r="D63" s="5">
        <v>9646.91</v>
      </c>
      <c r="E63" s="5">
        <v>0</v>
      </c>
      <c r="F63" s="5">
        <v>0</v>
      </c>
      <c r="G63" s="11">
        <v>0</v>
      </c>
      <c r="H63" s="2"/>
    </row>
    <row r="64" spans="1:8" ht="15.75" customHeight="1" x14ac:dyDescent="0.3">
      <c r="A64" s="3">
        <v>42859</v>
      </c>
      <c r="B64" s="5">
        <v>202675</v>
      </c>
      <c r="C64" s="5">
        <v>190688.97</v>
      </c>
      <c r="D64" s="5">
        <v>11986.03</v>
      </c>
      <c r="E64" s="5">
        <v>0</v>
      </c>
      <c r="F64" s="5">
        <v>0</v>
      </c>
      <c r="G64" s="11">
        <v>0</v>
      </c>
      <c r="H64" s="2"/>
    </row>
    <row r="65" spans="1:26" ht="15.75" customHeight="1" x14ac:dyDescent="0.3">
      <c r="A65" s="3">
        <v>42816</v>
      </c>
      <c r="B65" s="5">
        <v>272605</v>
      </c>
      <c r="C65" s="5">
        <v>188378.2</v>
      </c>
      <c r="D65" s="5">
        <v>14296.8</v>
      </c>
      <c r="E65" s="5">
        <v>0</v>
      </c>
      <c r="F65" s="5">
        <v>69930</v>
      </c>
      <c r="G65" s="11">
        <v>0</v>
      </c>
      <c r="H65" s="2"/>
    </row>
    <row r="66" spans="1:26" ht="15.75" customHeight="1" x14ac:dyDescent="0.3">
      <c r="A66" s="3">
        <v>42786</v>
      </c>
      <c r="B66" s="5">
        <v>189300</v>
      </c>
      <c r="C66" s="5">
        <v>185803.66</v>
      </c>
      <c r="D66" s="5">
        <v>3496.34</v>
      </c>
      <c r="E66" s="5">
        <v>0</v>
      </c>
      <c r="F66" s="5">
        <v>0</v>
      </c>
      <c r="G66" s="11">
        <v>0</v>
      </c>
      <c r="H66" s="2"/>
    </row>
    <row r="67" spans="1:26" ht="15.75" customHeight="1" x14ac:dyDescent="0.3">
      <c r="A67" s="3">
        <v>42753</v>
      </c>
      <c r="B67" s="5">
        <v>189300</v>
      </c>
      <c r="C67" s="5">
        <v>184486.24</v>
      </c>
      <c r="D67" s="5">
        <v>4813.76</v>
      </c>
      <c r="E67" s="5">
        <v>0</v>
      </c>
      <c r="F67" s="5">
        <v>0</v>
      </c>
      <c r="G67" s="11">
        <v>0</v>
      </c>
      <c r="H67" s="2"/>
    </row>
    <row r="68" spans="1:26" ht="15.75" customHeight="1" x14ac:dyDescent="0.3">
      <c r="A68" s="3">
        <v>42725</v>
      </c>
      <c r="B68" s="5">
        <v>189300</v>
      </c>
      <c r="C68" s="5">
        <v>182118.69</v>
      </c>
      <c r="D68" s="5">
        <v>7181.31</v>
      </c>
      <c r="E68" s="5">
        <v>0</v>
      </c>
      <c r="F68" s="5">
        <v>0</v>
      </c>
      <c r="G68" s="11">
        <v>0</v>
      </c>
      <c r="H68" s="2"/>
    </row>
    <row r="69" spans="1:26" ht="15.75" customHeight="1" x14ac:dyDescent="0.3">
      <c r="A69" s="3">
        <v>42693</v>
      </c>
      <c r="B69" s="5">
        <v>189300</v>
      </c>
      <c r="C69" s="5">
        <v>179782.52</v>
      </c>
      <c r="D69" s="5">
        <v>9515.48</v>
      </c>
      <c r="E69" s="5">
        <v>2</v>
      </c>
      <c r="F69" s="5">
        <v>0</v>
      </c>
      <c r="G69" s="11">
        <v>0</v>
      </c>
      <c r="H69" s="2"/>
    </row>
    <row r="70" spans="1:26" ht="15.75" customHeight="1" x14ac:dyDescent="0.3">
      <c r="A70" s="3">
        <v>42672</v>
      </c>
      <c r="B70" s="5">
        <v>189000</v>
      </c>
      <c r="C70" s="5">
        <v>176925.49</v>
      </c>
      <c r="D70" s="5">
        <v>11818.51</v>
      </c>
      <c r="E70" s="5">
        <v>256</v>
      </c>
      <c r="F70" s="5">
        <v>0</v>
      </c>
      <c r="G70" s="11">
        <v>0</v>
      </c>
      <c r="H70" s="2"/>
    </row>
    <row r="71" spans="1:26" ht="15.75" customHeight="1" x14ac:dyDescent="0.3">
      <c r="A71" s="3">
        <v>42637</v>
      </c>
      <c r="B71" s="5">
        <v>254009</v>
      </c>
      <c r="C71" s="5">
        <v>174877.09</v>
      </c>
      <c r="D71" s="5">
        <v>14091.91</v>
      </c>
      <c r="E71" s="5">
        <v>0</v>
      </c>
      <c r="F71" s="5">
        <v>65040</v>
      </c>
      <c r="G71" s="11">
        <v>0</v>
      </c>
      <c r="H71" s="2"/>
    </row>
    <row r="72" spans="1:26" ht="15.75" customHeight="1" x14ac:dyDescent="0.3">
      <c r="A72" s="3">
        <v>42600</v>
      </c>
      <c r="B72" s="5">
        <v>188950</v>
      </c>
      <c r="C72" s="5">
        <v>186525.26</v>
      </c>
      <c r="D72" s="5">
        <v>2424.7399999999998</v>
      </c>
      <c r="E72" s="5">
        <v>0</v>
      </c>
      <c r="F72" s="5">
        <v>0</v>
      </c>
      <c r="G72" s="11">
        <v>0</v>
      </c>
      <c r="H72" s="2"/>
    </row>
    <row r="73" spans="1:26" ht="15.75" customHeight="1" x14ac:dyDescent="0.3">
      <c r="A73" s="3">
        <v>42569</v>
      </c>
      <c r="B73" s="5">
        <v>189000</v>
      </c>
      <c r="C73" s="5">
        <v>184180.91</v>
      </c>
      <c r="D73" s="5">
        <v>4819.09</v>
      </c>
      <c r="E73" s="5">
        <v>0</v>
      </c>
      <c r="F73" s="5">
        <v>0</v>
      </c>
      <c r="G73" s="11">
        <v>0</v>
      </c>
      <c r="H73" s="2"/>
    </row>
    <row r="74" spans="1:26" ht="15.75" customHeight="1" x14ac:dyDescent="0.3">
      <c r="A74" s="3">
        <v>42534</v>
      </c>
      <c r="B74" s="5">
        <v>188950</v>
      </c>
      <c r="C74" s="5">
        <v>181767.92</v>
      </c>
      <c r="D74" s="5">
        <v>7182.08</v>
      </c>
      <c r="E74" s="5">
        <v>0</v>
      </c>
      <c r="F74" s="5">
        <v>0</v>
      </c>
      <c r="G74" s="11">
        <v>0</v>
      </c>
      <c r="H74" s="2"/>
    </row>
    <row r="75" spans="1:26" ht="15.75" customHeight="1" x14ac:dyDescent="0.3">
      <c r="A75" s="3">
        <v>42503</v>
      </c>
      <c r="B75" s="5">
        <v>187900</v>
      </c>
      <c r="C75" s="5">
        <v>178398.74</v>
      </c>
      <c r="D75" s="5">
        <v>9501.26</v>
      </c>
      <c r="E75" s="5">
        <v>0</v>
      </c>
      <c r="F75" s="5">
        <v>0</v>
      </c>
      <c r="G75" s="11">
        <v>0</v>
      </c>
      <c r="H75" s="2"/>
    </row>
    <row r="76" spans="1:26" ht="15.75" customHeight="1" x14ac:dyDescent="0.3">
      <c r="A76" s="3">
        <v>42485</v>
      </c>
      <c r="B76" s="5">
        <v>189000</v>
      </c>
      <c r="C76" s="5">
        <v>178250.48</v>
      </c>
      <c r="D76" s="5">
        <v>10749.52</v>
      </c>
      <c r="E76" s="5">
        <v>0</v>
      </c>
      <c r="F76" s="5">
        <v>0</v>
      </c>
      <c r="G76" s="11">
        <v>0</v>
      </c>
      <c r="H76" s="2"/>
    </row>
    <row r="77" spans="1:26" ht="15.75" customHeight="1" x14ac:dyDescent="0.3">
      <c r="A77" s="3">
        <v>42478</v>
      </c>
      <c r="B77" s="5">
        <v>2000</v>
      </c>
      <c r="C77" s="5">
        <v>926</v>
      </c>
      <c r="D77" s="5">
        <v>1069</v>
      </c>
      <c r="E77" s="5">
        <v>5</v>
      </c>
      <c r="F77" s="5">
        <v>0</v>
      </c>
      <c r="G77" s="11">
        <v>0</v>
      </c>
      <c r="H77" s="2"/>
    </row>
    <row r="78" spans="1:26" ht="15.75" customHeight="1" x14ac:dyDescent="0.3">
      <c r="A78" s="3">
        <v>42466</v>
      </c>
      <c r="B78" s="5">
        <v>254015</v>
      </c>
      <c r="C78" s="5">
        <v>173957</v>
      </c>
      <c r="D78" s="5">
        <v>14092</v>
      </c>
      <c r="E78" s="5">
        <v>926</v>
      </c>
      <c r="F78" s="5">
        <v>65040</v>
      </c>
      <c r="G78" s="11">
        <v>0</v>
      </c>
      <c r="H78" s="2"/>
    </row>
    <row r="79" spans="1:26" ht="15.75" customHeight="1" x14ac:dyDescent="0.3">
      <c r="B79" s="13">
        <f>SUM(B17:B78)</f>
        <v>13235864</v>
      </c>
      <c r="C79" s="2">
        <f>SUM(C17:C78)</f>
        <v>11859929.539999999</v>
      </c>
      <c r="D79" s="2">
        <f>SUM(D17:D78)</f>
        <v>536886.08000000007</v>
      </c>
      <c r="E79" s="2">
        <f>SUM(E17:E78)</f>
        <v>2312.5700000000002</v>
      </c>
      <c r="F79" s="2">
        <f>SUM(F17:F78)</f>
        <v>836925.87</v>
      </c>
    </row>
    <row r="80" spans="1:26" ht="15.75" customHeight="1" x14ac:dyDescent="0.3">
      <c r="A80" s="1"/>
      <c r="B80" s="14"/>
      <c r="C80" s="2"/>
      <c r="D80" s="2"/>
      <c r="E80" s="2"/>
      <c r="F80" s="2"/>
      <c r="G80" s="1"/>
      <c r="H80" s="1"/>
      <c r="I80" s="1"/>
      <c r="J80" s="1"/>
      <c r="K80" s="1"/>
      <c r="L80" s="1"/>
      <c r="M80" s="1"/>
      <c r="N80" s="1"/>
      <c r="O80" s="1"/>
      <c r="P80" s="1"/>
      <c r="Q80" s="1"/>
      <c r="R80" s="1"/>
      <c r="S80" s="1"/>
      <c r="T80" s="1"/>
      <c r="U80" s="1"/>
      <c r="V80" s="1"/>
      <c r="W80" s="1"/>
      <c r="X80" s="1"/>
      <c r="Y80" s="1"/>
      <c r="Z80" s="1"/>
    </row>
    <row r="81" spans="1:26" ht="15.75" customHeight="1" x14ac:dyDescent="0.3">
      <c r="A81" s="7" t="s">
        <v>14</v>
      </c>
      <c r="B81" s="338" t="s">
        <v>15</v>
      </c>
      <c r="C81" s="340" t="s">
        <v>16</v>
      </c>
      <c r="D81" s="8" t="s">
        <v>17</v>
      </c>
      <c r="E81" s="8" t="s">
        <v>18</v>
      </c>
      <c r="F81" s="8" t="s">
        <v>19</v>
      </c>
      <c r="G81" s="7" t="s">
        <v>20</v>
      </c>
    </row>
    <row r="82" spans="1:26" ht="15.75" customHeight="1" x14ac:dyDescent="0.3">
      <c r="A82" s="9" t="s">
        <v>21</v>
      </c>
      <c r="B82" s="339"/>
      <c r="C82" s="339"/>
      <c r="D82" s="10" t="s">
        <v>22</v>
      </c>
      <c r="E82" s="10" t="s">
        <v>23</v>
      </c>
      <c r="F82" s="10" t="s">
        <v>24</v>
      </c>
      <c r="G82" s="9" t="s">
        <v>25</v>
      </c>
    </row>
    <row r="83" spans="1:26" ht="15.75" customHeight="1" x14ac:dyDescent="0.3">
      <c r="A83" s="3">
        <v>44708</v>
      </c>
      <c r="B83" s="5">
        <v>782517</v>
      </c>
      <c r="C83" s="5">
        <v>219699</v>
      </c>
      <c r="D83" s="5" t="s">
        <v>26</v>
      </c>
      <c r="E83" s="5">
        <v>0</v>
      </c>
      <c r="F83" s="5">
        <v>0</v>
      </c>
      <c r="G83" s="11">
        <v>0</v>
      </c>
      <c r="H83" s="2"/>
      <c r="I83" s="1"/>
      <c r="J83" s="1"/>
      <c r="K83" s="1"/>
      <c r="L83" s="1"/>
      <c r="M83" s="1"/>
      <c r="N83" s="1"/>
      <c r="O83" s="1"/>
      <c r="P83" s="1"/>
      <c r="Q83" s="1"/>
      <c r="R83" s="1"/>
      <c r="S83" s="1"/>
      <c r="T83" s="1"/>
      <c r="U83" s="1"/>
      <c r="V83" s="1"/>
      <c r="W83" s="1"/>
      <c r="X83" s="1"/>
      <c r="Y83" s="1"/>
      <c r="Z83" s="1"/>
    </row>
    <row r="84" spans="1:26" ht="15.75" customHeight="1" x14ac:dyDescent="0.3">
      <c r="A84" s="3">
        <v>44862</v>
      </c>
      <c r="B84" s="5">
        <v>782517</v>
      </c>
      <c r="C84" s="5">
        <v>231641</v>
      </c>
      <c r="D84" s="5" t="s">
        <v>27</v>
      </c>
      <c r="E84" s="5">
        <v>0</v>
      </c>
      <c r="F84" s="5">
        <v>0</v>
      </c>
      <c r="G84" s="11">
        <v>0</v>
      </c>
      <c r="H84" s="2"/>
      <c r="I84" s="1"/>
      <c r="J84" s="1"/>
      <c r="K84" s="1"/>
      <c r="L84" s="1"/>
      <c r="M84" s="1"/>
      <c r="N84" s="1"/>
      <c r="O84" s="1"/>
      <c r="P84" s="1"/>
      <c r="Q84" s="1"/>
      <c r="R84" s="1"/>
      <c r="S84" s="1"/>
      <c r="T84" s="1"/>
      <c r="U84" s="1"/>
      <c r="V84" s="1"/>
      <c r="W84" s="1"/>
      <c r="X84" s="1"/>
      <c r="Y84" s="1"/>
      <c r="Z84" s="1"/>
    </row>
    <row r="85" spans="1:26" ht="15.75" customHeight="1" x14ac:dyDescent="0.3">
      <c r="A85" s="3">
        <v>44837</v>
      </c>
      <c r="B85" s="5">
        <v>782517</v>
      </c>
      <c r="C85" s="5">
        <v>229202</v>
      </c>
      <c r="D85" s="5" t="s">
        <v>28</v>
      </c>
      <c r="E85" s="5">
        <v>0</v>
      </c>
      <c r="F85" s="5">
        <v>0</v>
      </c>
      <c r="G85" s="11">
        <v>0</v>
      </c>
      <c r="H85" s="2"/>
      <c r="I85" s="1"/>
      <c r="J85" s="1"/>
      <c r="K85" s="1"/>
      <c r="L85" s="1"/>
      <c r="M85" s="1"/>
      <c r="N85" s="1"/>
      <c r="O85" s="1"/>
      <c r="P85" s="1"/>
      <c r="Q85" s="1"/>
      <c r="R85" s="1"/>
      <c r="S85" s="1"/>
      <c r="T85" s="1"/>
      <c r="U85" s="1"/>
      <c r="V85" s="1"/>
      <c r="W85" s="1"/>
      <c r="X85" s="1"/>
      <c r="Y85" s="1"/>
      <c r="Z85" s="1"/>
    </row>
    <row r="86" spans="1:26" ht="15.75" customHeight="1" x14ac:dyDescent="0.3">
      <c r="A86" s="3">
        <v>44809</v>
      </c>
      <c r="B86" s="5">
        <v>782517</v>
      </c>
      <c r="C86" s="5">
        <v>226788</v>
      </c>
      <c r="D86" s="5" t="s">
        <v>29</v>
      </c>
      <c r="E86" s="5">
        <v>0</v>
      </c>
      <c r="F86" s="5">
        <v>0</v>
      </c>
      <c r="G86" s="11">
        <v>0</v>
      </c>
      <c r="H86" s="2"/>
      <c r="I86" s="1"/>
      <c r="J86" s="1"/>
      <c r="K86" s="1"/>
      <c r="L86" s="1"/>
      <c r="M86" s="1"/>
      <c r="N86" s="1"/>
      <c r="O86" s="1"/>
      <c r="P86" s="1"/>
      <c r="Q86" s="1"/>
      <c r="R86" s="1"/>
      <c r="S86" s="1"/>
      <c r="T86" s="1"/>
      <c r="U86" s="1"/>
      <c r="V86" s="1"/>
      <c r="W86" s="1"/>
      <c r="X86" s="1"/>
      <c r="Y86" s="1"/>
      <c r="Z86" s="1"/>
    </row>
    <row r="87" spans="1:26" ht="15.75" customHeight="1" x14ac:dyDescent="0.3">
      <c r="A87" s="3">
        <v>44771</v>
      </c>
      <c r="B87" s="5">
        <v>782517</v>
      </c>
      <c r="C87" s="5">
        <v>224400</v>
      </c>
      <c r="D87" s="5" t="s">
        <v>30</v>
      </c>
      <c r="E87" s="5">
        <v>0</v>
      </c>
      <c r="F87" s="5">
        <v>0</v>
      </c>
      <c r="G87" s="11">
        <v>0</v>
      </c>
      <c r="H87" s="2"/>
      <c r="I87" s="1"/>
      <c r="J87" s="1"/>
      <c r="K87" s="1"/>
      <c r="L87" s="1"/>
      <c r="M87" s="1"/>
      <c r="N87" s="1"/>
      <c r="O87" s="1"/>
      <c r="P87" s="1"/>
      <c r="Q87" s="1"/>
      <c r="R87" s="1"/>
      <c r="S87" s="1"/>
      <c r="T87" s="1"/>
      <c r="U87" s="1"/>
      <c r="V87" s="1"/>
      <c r="W87" s="1"/>
      <c r="X87" s="1"/>
      <c r="Y87" s="1"/>
      <c r="Z87" s="1"/>
    </row>
    <row r="88" spans="1:26" ht="15.75" customHeight="1" x14ac:dyDescent="0.3">
      <c r="A88" s="3">
        <v>44740</v>
      </c>
      <c r="B88" s="5">
        <v>782517</v>
      </c>
      <c r="C88" s="5">
        <v>222037</v>
      </c>
      <c r="D88" s="5" t="s">
        <v>31</v>
      </c>
      <c r="E88" s="5">
        <v>0</v>
      </c>
      <c r="F88" s="5">
        <v>0</v>
      </c>
      <c r="G88" s="11">
        <v>0</v>
      </c>
      <c r="H88" s="2"/>
      <c r="I88" s="1"/>
      <c r="J88" s="1"/>
      <c r="K88" s="1"/>
      <c r="L88" s="1"/>
      <c r="M88" s="1"/>
      <c r="N88" s="1"/>
      <c r="O88" s="1"/>
      <c r="P88" s="1"/>
      <c r="Q88" s="1"/>
      <c r="R88" s="1"/>
      <c r="S88" s="1"/>
      <c r="T88" s="1"/>
      <c r="U88" s="1"/>
      <c r="V88" s="1"/>
      <c r="W88" s="1"/>
      <c r="X88" s="1"/>
      <c r="Y88" s="1"/>
      <c r="Z88" s="1"/>
    </row>
    <row r="89" spans="1:26" ht="15.75" customHeight="1" x14ac:dyDescent="0.3">
      <c r="A89" s="3">
        <v>45007</v>
      </c>
      <c r="B89" s="5">
        <v>831449</v>
      </c>
      <c r="C89" s="5">
        <v>224064</v>
      </c>
      <c r="D89" s="5" t="s">
        <v>32</v>
      </c>
      <c r="E89" s="5">
        <v>0</v>
      </c>
      <c r="F89" s="5">
        <v>0</v>
      </c>
      <c r="G89" s="11">
        <v>0</v>
      </c>
      <c r="H89" s="2"/>
      <c r="I89" s="1"/>
      <c r="J89" s="1"/>
      <c r="K89" s="1"/>
      <c r="L89" s="1"/>
      <c r="M89" s="1"/>
      <c r="N89" s="1"/>
      <c r="O89" s="1"/>
      <c r="P89" s="1"/>
      <c r="Q89" s="1"/>
      <c r="R89" s="1"/>
      <c r="S89" s="1"/>
      <c r="T89" s="1"/>
      <c r="U89" s="1"/>
      <c r="V89" s="1"/>
      <c r="W89" s="1"/>
      <c r="X89" s="1"/>
      <c r="Y89" s="1"/>
      <c r="Z89" s="1"/>
    </row>
    <row r="90" spans="1:26" ht="15.75" customHeight="1" x14ac:dyDescent="0.3">
      <c r="A90" s="3">
        <v>44986</v>
      </c>
      <c r="B90" s="5">
        <v>834581</v>
      </c>
      <c r="C90" s="5">
        <v>224504</v>
      </c>
      <c r="D90" s="5" t="s">
        <v>33</v>
      </c>
      <c r="E90" s="5">
        <v>0</v>
      </c>
      <c r="F90" s="5">
        <v>0</v>
      </c>
      <c r="G90" s="11">
        <v>0</v>
      </c>
      <c r="H90" s="2"/>
      <c r="I90" s="1"/>
      <c r="J90" s="1"/>
      <c r="K90" s="1"/>
      <c r="L90" s="1"/>
      <c r="M90" s="1"/>
      <c r="N90" s="1"/>
      <c r="O90" s="1"/>
      <c r="P90" s="1"/>
      <c r="Q90" s="1"/>
      <c r="R90" s="1"/>
      <c r="S90" s="1"/>
      <c r="T90" s="1"/>
      <c r="U90" s="1"/>
      <c r="V90" s="1"/>
      <c r="W90" s="1"/>
      <c r="X90" s="1"/>
      <c r="Y90" s="1"/>
      <c r="Z90" s="1"/>
    </row>
    <row r="91" spans="1:26" ht="15.75" customHeight="1" x14ac:dyDescent="0.3">
      <c r="A91" s="3">
        <v>44956</v>
      </c>
      <c r="B91" s="5">
        <v>782517</v>
      </c>
      <c r="C91" s="5">
        <v>188562</v>
      </c>
      <c r="D91" s="5" t="s">
        <v>34</v>
      </c>
      <c r="E91" s="5">
        <v>0</v>
      </c>
      <c r="F91" s="5">
        <v>0</v>
      </c>
      <c r="G91" s="11">
        <v>0</v>
      </c>
      <c r="H91" s="2"/>
      <c r="I91" s="1"/>
      <c r="J91" s="1"/>
      <c r="K91" s="1"/>
      <c r="L91" s="1"/>
      <c r="M91" s="1"/>
      <c r="N91" s="1"/>
      <c r="O91" s="1"/>
      <c r="P91" s="1"/>
      <c r="Q91" s="1"/>
      <c r="R91" s="1"/>
      <c r="S91" s="1"/>
      <c r="T91" s="1"/>
      <c r="U91" s="1"/>
      <c r="V91" s="1"/>
      <c r="W91" s="1"/>
      <c r="X91" s="1"/>
      <c r="Y91" s="1"/>
      <c r="Z91" s="1"/>
    </row>
    <row r="92" spans="1:26" ht="15.75" customHeight="1" x14ac:dyDescent="0.3">
      <c r="A92" s="3">
        <v>44928</v>
      </c>
      <c r="B92" s="5">
        <v>782517</v>
      </c>
      <c r="C92" s="5">
        <v>236597</v>
      </c>
      <c r="D92" s="5" t="s">
        <v>35</v>
      </c>
      <c r="E92" s="5">
        <v>0</v>
      </c>
      <c r="F92" s="5">
        <v>0</v>
      </c>
      <c r="G92" s="11">
        <v>0</v>
      </c>
      <c r="H92" s="2"/>
      <c r="I92" s="1"/>
      <c r="J92" s="1"/>
      <c r="K92" s="1"/>
      <c r="L92" s="1"/>
      <c r="M92" s="1"/>
      <c r="N92" s="1"/>
      <c r="O92" s="1"/>
      <c r="P92" s="1"/>
      <c r="Q92" s="1"/>
      <c r="R92" s="1"/>
      <c r="S92" s="1"/>
      <c r="T92" s="1"/>
      <c r="U92" s="1"/>
      <c r="V92" s="1"/>
      <c r="W92" s="1"/>
      <c r="X92" s="1"/>
      <c r="Y92" s="1"/>
      <c r="Z92" s="1"/>
    </row>
    <row r="93" spans="1:26" ht="15.75" customHeight="1" x14ac:dyDescent="0.3">
      <c r="A93" s="3">
        <v>44894</v>
      </c>
      <c r="B93" s="5">
        <v>782517</v>
      </c>
      <c r="C93" s="5">
        <v>234106</v>
      </c>
      <c r="D93" s="5" t="s">
        <v>36</v>
      </c>
      <c r="E93" s="5">
        <v>0</v>
      </c>
      <c r="F93" s="5">
        <v>0</v>
      </c>
      <c r="G93" s="11">
        <v>0</v>
      </c>
      <c r="H93" s="2"/>
      <c r="I93" s="1"/>
      <c r="J93" s="1"/>
      <c r="K93" s="1"/>
      <c r="L93" s="1"/>
      <c r="M93" s="1"/>
      <c r="N93" s="1"/>
      <c r="O93" s="1"/>
      <c r="P93" s="1"/>
      <c r="Q93" s="1"/>
      <c r="R93" s="1"/>
      <c r="S93" s="1"/>
      <c r="T93" s="1"/>
      <c r="U93" s="1"/>
      <c r="V93" s="1"/>
      <c r="W93" s="1"/>
      <c r="X93" s="1"/>
      <c r="Y93" s="1"/>
      <c r="Z93" s="1"/>
    </row>
    <row r="94" spans="1:26" ht="15.75" customHeight="1" x14ac:dyDescent="0.3">
      <c r="A94" s="3">
        <v>45158</v>
      </c>
      <c r="B94" s="5">
        <v>831449</v>
      </c>
      <c r="C94" s="5">
        <v>237825</v>
      </c>
      <c r="D94" s="5" t="s">
        <v>37</v>
      </c>
      <c r="E94" s="5">
        <v>0</v>
      </c>
      <c r="F94" s="5">
        <v>0</v>
      </c>
      <c r="G94" s="11">
        <v>0</v>
      </c>
      <c r="H94" s="2"/>
      <c r="I94" s="1"/>
      <c r="J94" s="1"/>
      <c r="K94" s="1"/>
      <c r="L94" s="1"/>
      <c r="M94" s="1"/>
      <c r="N94" s="1"/>
      <c r="O94" s="1"/>
      <c r="P94" s="1"/>
      <c r="Q94" s="1"/>
      <c r="R94" s="1"/>
      <c r="S94" s="1"/>
      <c r="T94" s="1"/>
      <c r="U94" s="1"/>
      <c r="V94" s="1"/>
      <c r="W94" s="1"/>
      <c r="X94" s="1"/>
      <c r="Y94" s="1"/>
      <c r="Z94" s="1"/>
    </row>
    <row r="95" spans="1:26" ht="15.75" customHeight="1" x14ac:dyDescent="0.3">
      <c r="A95" s="3">
        <v>45126</v>
      </c>
      <c r="B95" s="5">
        <v>831449</v>
      </c>
      <c r="C95" s="5">
        <v>235007</v>
      </c>
      <c r="D95" s="5" t="s">
        <v>38</v>
      </c>
      <c r="E95" s="5">
        <v>0</v>
      </c>
      <c r="F95" s="5">
        <v>0</v>
      </c>
      <c r="G95" s="11">
        <v>0</v>
      </c>
      <c r="H95" s="2"/>
      <c r="I95" s="1"/>
      <c r="J95" s="1"/>
      <c r="K95" s="1"/>
      <c r="L95" s="1"/>
      <c r="M95" s="1"/>
      <c r="N95" s="1"/>
      <c r="O95" s="1"/>
      <c r="P95" s="1"/>
      <c r="Q95" s="1"/>
      <c r="R95" s="1"/>
      <c r="S95" s="1"/>
      <c r="T95" s="1"/>
      <c r="U95" s="1"/>
      <c r="V95" s="1"/>
      <c r="W95" s="1"/>
      <c r="X95" s="1"/>
      <c r="Y95" s="1"/>
      <c r="Z95" s="1"/>
    </row>
    <row r="96" spans="1:26" ht="15.75" customHeight="1" x14ac:dyDescent="0.3">
      <c r="A96" s="3">
        <v>45100</v>
      </c>
      <c r="B96" s="5">
        <v>831449</v>
      </c>
      <c r="C96" s="5">
        <v>232222</v>
      </c>
      <c r="D96" s="5" t="s">
        <v>39</v>
      </c>
      <c r="E96" s="5">
        <v>0</v>
      </c>
      <c r="F96" s="5">
        <v>0</v>
      </c>
      <c r="G96" s="11">
        <v>0</v>
      </c>
      <c r="H96" s="2"/>
      <c r="I96" s="1"/>
      <c r="J96" s="1"/>
      <c r="K96" s="1"/>
      <c r="L96" s="1"/>
      <c r="M96" s="1"/>
      <c r="N96" s="1"/>
      <c r="O96" s="1"/>
      <c r="P96" s="1"/>
      <c r="Q96" s="1"/>
      <c r="R96" s="1"/>
      <c r="S96" s="1"/>
      <c r="T96" s="1"/>
      <c r="U96" s="1"/>
      <c r="V96" s="1"/>
      <c r="W96" s="1"/>
      <c r="X96" s="1"/>
      <c r="Y96" s="1"/>
      <c r="Z96" s="1"/>
    </row>
    <row r="97" spans="1:26" ht="15.75" customHeight="1" x14ac:dyDescent="0.3">
      <c r="A97" s="3">
        <v>45066</v>
      </c>
      <c r="B97" s="5">
        <v>831449</v>
      </c>
      <c r="C97" s="5">
        <v>229471</v>
      </c>
      <c r="D97" s="5" t="s">
        <v>40</v>
      </c>
      <c r="E97" s="5">
        <v>0</v>
      </c>
      <c r="F97" s="5">
        <v>0</v>
      </c>
      <c r="G97" s="11">
        <v>0</v>
      </c>
      <c r="H97" s="2"/>
      <c r="I97" s="1"/>
      <c r="J97" s="1"/>
      <c r="K97" s="1"/>
      <c r="L97" s="1"/>
      <c r="M97" s="1"/>
      <c r="N97" s="1"/>
      <c r="O97" s="1"/>
      <c r="P97" s="1"/>
      <c r="Q97" s="1"/>
      <c r="R97" s="1"/>
      <c r="S97" s="1"/>
      <c r="T97" s="1"/>
      <c r="U97" s="1"/>
      <c r="V97" s="1"/>
      <c r="W97" s="1"/>
      <c r="X97" s="1"/>
      <c r="Y97" s="1"/>
      <c r="Z97" s="1"/>
    </row>
    <row r="98" spans="1:26" ht="15.75" customHeight="1" x14ac:dyDescent="0.3">
      <c r="A98" s="3">
        <v>45036</v>
      </c>
      <c r="B98" s="5">
        <v>831449</v>
      </c>
      <c r="C98" s="5">
        <v>226751</v>
      </c>
      <c r="D98" s="5" t="s">
        <v>41</v>
      </c>
      <c r="E98" s="5">
        <v>0</v>
      </c>
      <c r="F98" s="5">
        <v>0</v>
      </c>
      <c r="G98" s="11">
        <v>0</v>
      </c>
      <c r="H98" s="2"/>
      <c r="I98" s="1"/>
      <c r="J98" s="1"/>
      <c r="K98" s="1"/>
      <c r="L98" s="1"/>
      <c r="M98" s="1"/>
      <c r="N98" s="1"/>
      <c r="O98" s="1"/>
      <c r="P98" s="1"/>
      <c r="Q98" s="1"/>
      <c r="R98" s="1"/>
      <c r="S98" s="1"/>
      <c r="T98" s="1"/>
      <c r="U98" s="1"/>
      <c r="V98" s="1"/>
      <c r="W98" s="1"/>
      <c r="X98" s="1"/>
      <c r="Y98" s="1"/>
      <c r="Z98" s="1"/>
    </row>
    <row r="99" spans="1:26" ht="15.75" customHeight="1" x14ac:dyDescent="0.3">
      <c r="A99" s="3">
        <v>45314</v>
      </c>
      <c r="B99" s="5">
        <v>831449</v>
      </c>
      <c r="C99" s="5">
        <v>374136</v>
      </c>
      <c r="D99" s="5" t="s">
        <v>42</v>
      </c>
      <c r="E99" s="5">
        <v>0</v>
      </c>
      <c r="F99" s="5">
        <v>0</v>
      </c>
      <c r="G99" s="11">
        <v>0</v>
      </c>
      <c r="H99" s="2"/>
      <c r="I99" s="1"/>
      <c r="J99" s="1"/>
      <c r="K99" s="1"/>
      <c r="L99" s="1"/>
      <c r="M99" s="1"/>
      <c r="N99" s="1"/>
      <c r="O99" s="1"/>
      <c r="P99" s="1"/>
      <c r="Q99" s="1"/>
      <c r="R99" s="1"/>
      <c r="S99" s="1"/>
      <c r="T99" s="1"/>
      <c r="U99" s="1"/>
      <c r="V99" s="1"/>
      <c r="W99" s="1"/>
      <c r="X99" s="1"/>
      <c r="Y99" s="1"/>
      <c r="Z99" s="1"/>
    </row>
    <row r="100" spans="1:26" ht="15.75" customHeight="1" x14ac:dyDescent="0.3">
      <c r="A100" s="3">
        <v>45295</v>
      </c>
      <c r="B100" s="5">
        <v>831449</v>
      </c>
      <c r="C100" s="5">
        <v>249440</v>
      </c>
      <c r="D100" s="5" t="s">
        <v>43</v>
      </c>
      <c r="E100" s="5">
        <v>0</v>
      </c>
      <c r="F100" s="5">
        <v>0</v>
      </c>
      <c r="G100" s="11">
        <v>0</v>
      </c>
      <c r="H100" s="2"/>
      <c r="I100" s="1"/>
      <c r="J100" s="1"/>
      <c r="K100" s="1"/>
      <c r="L100" s="1"/>
      <c r="M100" s="1"/>
      <c r="N100" s="1"/>
      <c r="O100" s="1"/>
      <c r="P100" s="1"/>
      <c r="Q100" s="1"/>
      <c r="R100" s="1"/>
      <c r="S100" s="1"/>
      <c r="T100" s="1"/>
      <c r="U100" s="1"/>
      <c r="V100" s="1"/>
      <c r="W100" s="1"/>
      <c r="X100" s="1"/>
      <c r="Y100" s="1"/>
      <c r="Z100" s="1"/>
    </row>
    <row r="101" spans="1:26" ht="15.75" customHeight="1" x14ac:dyDescent="0.3">
      <c r="A101" s="3">
        <v>45252</v>
      </c>
      <c r="B101" s="5">
        <v>831449</v>
      </c>
      <c r="C101" s="5">
        <v>246484</v>
      </c>
      <c r="D101" s="5" t="s">
        <v>44</v>
      </c>
      <c r="E101" s="5">
        <v>0</v>
      </c>
      <c r="F101" s="5">
        <v>0</v>
      </c>
      <c r="G101" s="11">
        <v>0</v>
      </c>
      <c r="H101" s="2"/>
      <c r="I101" s="1"/>
      <c r="J101" s="1"/>
      <c r="K101" s="1"/>
      <c r="L101" s="1"/>
      <c r="M101" s="1"/>
      <c r="N101" s="1"/>
      <c r="O101" s="1"/>
      <c r="P101" s="1"/>
      <c r="Q101" s="1"/>
      <c r="R101" s="1"/>
      <c r="S101" s="1"/>
      <c r="T101" s="1"/>
      <c r="U101" s="1"/>
      <c r="V101" s="1"/>
      <c r="W101" s="1"/>
      <c r="X101" s="1"/>
      <c r="Y101" s="1"/>
      <c r="Z101" s="1"/>
    </row>
    <row r="102" spans="1:26" ht="15.75" customHeight="1" x14ac:dyDescent="0.3">
      <c r="A102" s="3">
        <v>45219</v>
      </c>
      <c r="B102" s="5">
        <v>831449</v>
      </c>
      <c r="C102" s="5">
        <v>243563</v>
      </c>
      <c r="D102" s="5" t="s">
        <v>45</v>
      </c>
      <c r="E102" s="5">
        <v>0</v>
      </c>
      <c r="F102" s="5">
        <v>0</v>
      </c>
      <c r="G102" s="11">
        <v>0</v>
      </c>
      <c r="H102" s="2"/>
      <c r="I102" s="1"/>
      <c r="J102" s="1"/>
      <c r="K102" s="1"/>
      <c r="L102" s="1"/>
      <c r="M102" s="1"/>
      <c r="N102" s="1"/>
      <c r="O102" s="1"/>
      <c r="P102" s="1"/>
      <c r="Q102" s="1"/>
      <c r="R102" s="1"/>
      <c r="S102" s="1"/>
      <c r="T102" s="1"/>
      <c r="U102" s="1"/>
      <c r="V102" s="1"/>
      <c r="W102" s="1"/>
      <c r="X102" s="1"/>
      <c r="Y102" s="1"/>
      <c r="Z102" s="1"/>
    </row>
    <row r="103" spans="1:26" ht="15.75" customHeight="1" x14ac:dyDescent="0.3">
      <c r="A103" s="3">
        <v>45189</v>
      </c>
      <c r="B103" s="5">
        <v>831449</v>
      </c>
      <c r="C103" s="5">
        <v>240677</v>
      </c>
      <c r="D103" s="5" t="s">
        <v>46</v>
      </c>
      <c r="E103" s="5">
        <v>0</v>
      </c>
      <c r="F103" s="5">
        <v>0</v>
      </c>
      <c r="G103" s="11">
        <v>0</v>
      </c>
      <c r="H103" s="2"/>
      <c r="I103" s="1"/>
      <c r="J103" s="1"/>
      <c r="K103" s="1"/>
      <c r="L103" s="1"/>
      <c r="M103" s="1"/>
      <c r="N103" s="1"/>
      <c r="O103" s="1"/>
      <c r="P103" s="1"/>
      <c r="Q103" s="1"/>
      <c r="R103" s="1"/>
      <c r="S103" s="1"/>
      <c r="T103" s="1"/>
      <c r="U103" s="1"/>
      <c r="V103" s="1"/>
      <c r="W103" s="1"/>
      <c r="X103" s="1"/>
      <c r="Y103" s="1"/>
      <c r="Z103" s="1"/>
    </row>
    <row r="104" spans="1:26" ht="15.75" customHeight="1" x14ac:dyDescent="0.3">
      <c r="A104" s="3">
        <v>45464</v>
      </c>
      <c r="B104" s="5">
        <v>735778</v>
      </c>
      <c r="C104" s="5">
        <v>312555</v>
      </c>
      <c r="D104" s="5" t="s">
        <v>47</v>
      </c>
      <c r="E104" s="5">
        <v>0</v>
      </c>
      <c r="F104" s="5">
        <v>0</v>
      </c>
      <c r="G104" s="11">
        <v>0</v>
      </c>
      <c r="H104" s="2"/>
      <c r="I104" s="1"/>
      <c r="J104" s="1"/>
      <c r="K104" s="1"/>
      <c r="L104" s="1"/>
      <c r="M104" s="1"/>
      <c r="N104" s="1"/>
      <c r="O104" s="1"/>
      <c r="P104" s="1"/>
      <c r="Q104" s="1"/>
      <c r="R104" s="1"/>
      <c r="S104" s="1"/>
      <c r="T104" s="1"/>
      <c r="U104" s="1"/>
      <c r="V104" s="1"/>
      <c r="W104" s="1"/>
      <c r="X104" s="1"/>
      <c r="Y104" s="1"/>
      <c r="Z104" s="1"/>
    </row>
    <row r="105" spans="1:26" ht="15.75" customHeight="1" x14ac:dyDescent="0.3">
      <c r="A105" s="3">
        <v>45439</v>
      </c>
      <c r="B105" s="5">
        <v>735778</v>
      </c>
      <c r="C105" s="5">
        <v>309742</v>
      </c>
      <c r="D105" s="5" t="s">
        <v>48</v>
      </c>
      <c r="E105" s="5">
        <v>0</v>
      </c>
      <c r="F105" s="5">
        <v>0</v>
      </c>
      <c r="G105" s="11">
        <v>0</v>
      </c>
      <c r="H105" s="2"/>
      <c r="I105" s="1"/>
      <c r="J105" s="1"/>
      <c r="K105" s="1"/>
      <c r="L105" s="1"/>
      <c r="M105" s="1"/>
      <c r="N105" s="1"/>
      <c r="O105" s="1"/>
      <c r="P105" s="1"/>
      <c r="Q105" s="1"/>
      <c r="R105" s="1"/>
      <c r="S105" s="1"/>
      <c r="T105" s="1"/>
      <c r="U105" s="1"/>
      <c r="V105" s="1"/>
      <c r="W105" s="1"/>
      <c r="X105" s="1"/>
      <c r="Y105" s="1"/>
      <c r="Z105" s="1"/>
    </row>
    <row r="106" spans="1:26" ht="15.75" customHeight="1" x14ac:dyDescent="0.3">
      <c r="A106" s="3">
        <v>45401</v>
      </c>
      <c r="B106" s="5">
        <v>735778</v>
      </c>
      <c r="C106" s="5">
        <v>306954</v>
      </c>
      <c r="D106" s="5" t="s">
        <v>49</v>
      </c>
      <c r="E106" s="5">
        <v>0</v>
      </c>
      <c r="F106" s="5">
        <v>0</v>
      </c>
      <c r="G106" s="11">
        <v>0</v>
      </c>
      <c r="H106" s="2"/>
      <c r="I106" s="1"/>
      <c r="J106" s="1"/>
      <c r="K106" s="1"/>
      <c r="L106" s="1"/>
      <c r="M106" s="1"/>
      <c r="N106" s="1"/>
      <c r="O106" s="1"/>
      <c r="P106" s="1"/>
      <c r="Q106" s="1"/>
      <c r="R106" s="1"/>
      <c r="S106" s="1"/>
      <c r="T106" s="1"/>
      <c r="U106" s="1"/>
      <c r="V106" s="1"/>
      <c r="W106" s="1"/>
      <c r="X106" s="1"/>
      <c r="Y106" s="1"/>
      <c r="Z106" s="1"/>
    </row>
    <row r="107" spans="1:26" ht="15.75" customHeight="1" x14ac:dyDescent="0.3">
      <c r="A107" s="3">
        <v>45377</v>
      </c>
      <c r="B107" s="5">
        <v>735778</v>
      </c>
      <c r="C107" s="5">
        <v>304650</v>
      </c>
      <c r="D107" s="5" t="s">
        <v>50</v>
      </c>
      <c r="E107" s="5">
        <v>0</v>
      </c>
      <c r="F107" s="5">
        <v>0</v>
      </c>
      <c r="G107" s="11">
        <v>0</v>
      </c>
      <c r="H107" s="2"/>
      <c r="I107" s="1"/>
      <c r="J107" s="1"/>
      <c r="K107" s="1"/>
      <c r="L107" s="1"/>
      <c r="M107" s="1"/>
      <c r="N107" s="1"/>
      <c r="O107" s="1"/>
      <c r="P107" s="1"/>
      <c r="Q107" s="1"/>
      <c r="R107" s="1"/>
      <c r="S107" s="1"/>
      <c r="T107" s="1"/>
      <c r="U107" s="1"/>
      <c r="V107" s="1"/>
      <c r="W107" s="1"/>
      <c r="X107" s="1"/>
      <c r="Y107" s="1"/>
      <c r="Z107" s="1"/>
    </row>
    <row r="108" spans="1:26" ht="15.75" customHeight="1" thickBot="1" x14ac:dyDescent="0.35">
      <c r="A108" s="3">
        <v>45341</v>
      </c>
      <c r="B108" s="5">
        <v>831449</v>
      </c>
      <c r="C108" s="5">
        <v>396258</v>
      </c>
      <c r="D108" s="5" t="s">
        <v>51</v>
      </c>
      <c r="E108" s="5">
        <v>0</v>
      </c>
      <c r="F108" s="5">
        <v>0</v>
      </c>
      <c r="G108" s="11">
        <v>0</v>
      </c>
      <c r="H108" s="2"/>
      <c r="I108" s="1"/>
      <c r="J108" s="1"/>
      <c r="K108" s="1"/>
      <c r="L108" s="1"/>
      <c r="M108" s="1"/>
      <c r="N108" s="1"/>
      <c r="O108" s="1"/>
      <c r="P108" s="1"/>
      <c r="Q108" s="1"/>
      <c r="R108" s="1"/>
      <c r="S108" s="1"/>
      <c r="T108" s="1"/>
      <c r="U108" s="1"/>
      <c r="V108" s="1"/>
      <c r="W108" s="1"/>
      <c r="X108" s="1"/>
      <c r="Y108" s="1"/>
      <c r="Z108" s="1"/>
    </row>
    <row r="109" spans="1:26" s="185" customFormat="1" ht="15.75" customHeight="1" thickBot="1" x14ac:dyDescent="0.35">
      <c r="A109" s="3">
        <v>45524</v>
      </c>
      <c r="B109" s="5">
        <v>735778</v>
      </c>
      <c r="C109" s="5">
        <v>318259.81</v>
      </c>
      <c r="D109" s="5" t="s">
        <v>827</v>
      </c>
      <c r="E109" s="5">
        <v>0</v>
      </c>
      <c r="F109" s="5">
        <v>0</v>
      </c>
      <c r="G109" s="11">
        <v>0</v>
      </c>
      <c r="H109" s="2"/>
      <c r="I109" s="1"/>
      <c r="J109" s="1"/>
      <c r="K109" s="1"/>
      <c r="L109" s="1"/>
      <c r="M109" s="1"/>
      <c r="N109" s="1"/>
      <c r="O109" s="1"/>
      <c r="P109" s="1"/>
      <c r="Q109" s="1"/>
      <c r="R109" s="1"/>
      <c r="S109" s="1"/>
      <c r="T109" s="1"/>
      <c r="U109" s="1"/>
      <c r="V109" s="1"/>
      <c r="W109" s="1"/>
      <c r="X109" s="1"/>
      <c r="Y109" s="1"/>
      <c r="Z109" s="1"/>
    </row>
    <row r="110" spans="1:26" s="185" customFormat="1" ht="15.75" customHeight="1" thickBot="1" x14ac:dyDescent="0.35">
      <c r="A110" s="3">
        <v>45495</v>
      </c>
      <c r="B110" s="5">
        <v>735778</v>
      </c>
      <c r="C110" s="5">
        <v>315394.96999999997</v>
      </c>
      <c r="D110" s="5" t="s">
        <v>828</v>
      </c>
      <c r="E110" s="5">
        <v>0</v>
      </c>
      <c r="F110" s="5">
        <v>0</v>
      </c>
      <c r="G110" s="11">
        <v>0</v>
      </c>
      <c r="H110" s="2"/>
      <c r="I110" s="1"/>
      <c r="J110" s="1"/>
      <c r="K110" s="1"/>
      <c r="L110" s="1"/>
      <c r="M110" s="1"/>
      <c r="N110" s="1"/>
      <c r="O110" s="1"/>
      <c r="P110" s="1"/>
      <c r="Q110" s="1"/>
      <c r="R110" s="1"/>
      <c r="S110" s="1"/>
      <c r="T110" s="1"/>
      <c r="U110" s="1"/>
      <c r="V110" s="1"/>
      <c r="W110" s="1"/>
      <c r="X110" s="1"/>
      <c r="Y110" s="1"/>
      <c r="Z110" s="1"/>
    </row>
    <row r="111" spans="1:26" s="185" customFormat="1" ht="15.75" customHeight="1" thickBot="1" x14ac:dyDescent="0.35">
      <c r="A111" s="3">
        <v>45649</v>
      </c>
      <c r="B111" s="5">
        <v>735778</v>
      </c>
      <c r="C111" s="5">
        <v>358422.96</v>
      </c>
      <c r="D111" s="5" t="s">
        <v>829</v>
      </c>
      <c r="E111" s="5">
        <v>0</v>
      </c>
      <c r="F111" s="5">
        <v>0</v>
      </c>
      <c r="G111" s="11">
        <v>0</v>
      </c>
      <c r="H111" s="2"/>
      <c r="I111" s="1"/>
      <c r="J111" s="1"/>
      <c r="K111" s="1"/>
      <c r="L111" s="1"/>
      <c r="M111" s="1"/>
      <c r="N111" s="1"/>
      <c r="O111" s="1"/>
      <c r="P111" s="1"/>
      <c r="Q111" s="1"/>
      <c r="R111" s="1"/>
      <c r="S111" s="1"/>
      <c r="T111" s="1"/>
      <c r="U111" s="1"/>
      <c r="V111" s="1"/>
      <c r="W111" s="1"/>
      <c r="X111" s="1"/>
      <c r="Y111" s="1"/>
      <c r="Z111" s="1"/>
    </row>
    <row r="112" spans="1:26" s="185" customFormat="1" ht="15.75" customHeight="1" thickBot="1" x14ac:dyDescent="0.35">
      <c r="A112" s="3">
        <v>45616</v>
      </c>
      <c r="B112" s="5">
        <v>735778</v>
      </c>
      <c r="C112" s="5">
        <v>355196.6</v>
      </c>
      <c r="D112" s="5" t="s">
        <v>830</v>
      </c>
      <c r="E112" s="5">
        <v>0</v>
      </c>
      <c r="F112" s="5">
        <v>0</v>
      </c>
      <c r="G112" s="11">
        <v>0</v>
      </c>
      <c r="H112" s="2"/>
      <c r="I112" s="1"/>
      <c r="J112" s="1"/>
      <c r="K112" s="1"/>
      <c r="L112" s="1"/>
      <c r="M112" s="1"/>
      <c r="N112" s="1"/>
      <c r="O112" s="1"/>
      <c r="P112" s="1"/>
      <c r="Q112" s="1"/>
      <c r="R112" s="1"/>
      <c r="S112" s="1"/>
      <c r="T112" s="1"/>
      <c r="U112" s="1"/>
      <c r="V112" s="1"/>
      <c r="W112" s="1"/>
      <c r="X112" s="1"/>
      <c r="Y112" s="1"/>
      <c r="Z112" s="1"/>
    </row>
    <row r="113" spans="1:26" s="185" customFormat="1" ht="15.75" customHeight="1" thickBot="1" x14ac:dyDescent="0.35">
      <c r="A113" s="3">
        <v>45586</v>
      </c>
      <c r="B113" s="5">
        <v>735778</v>
      </c>
      <c r="C113" s="5">
        <v>351999.27</v>
      </c>
      <c r="D113" s="5" t="s">
        <v>831</v>
      </c>
      <c r="E113" s="5">
        <v>0</v>
      </c>
      <c r="F113" s="5">
        <v>0</v>
      </c>
      <c r="G113" s="11">
        <v>0</v>
      </c>
      <c r="H113" s="2"/>
      <c r="I113" s="1"/>
      <c r="J113" s="1"/>
      <c r="K113" s="1"/>
      <c r="L113" s="1"/>
      <c r="M113" s="1"/>
      <c r="N113" s="1"/>
      <c r="O113" s="1"/>
      <c r="P113" s="1"/>
      <c r="Q113" s="1"/>
      <c r="R113" s="1"/>
      <c r="S113" s="1"/>
      <c r="T113" s="1"/>
      <c r="U113" s="1"/>
      <c r="V113" s="1"/>
      <c r="W113" s="1"/>
      <c r="X113" s="1"/>
      <c r="Y113" s="1"/>
      <c r="Z113" s="1"/>
    </row>
    <row r="114" spans="1:26" s="185" customFormat="1" ht="15.75" customHeight="1" thickBot="1" x14ac:dyDescent="0.35">
      <c r="A114" s="3">
        <v>45556</v>
      </c>
      <c r="B114" s="5">
        <v>735778</v>
      </c>
      <c r="C114" s="5">
        <v>359763.71</v>
      </c>
      <c r="D114" s="5" t="s">
        <v>832</v>
      </c>
      <c r="E114" s="5">
        <v>0</v>
      </c>
      <c r="F114" s="5">
        <v>0</v>
      </c>
      <c r="G114" s="11">
        <v>0</v>
      </c>
      <c r="H114" s="2"/>
      <c r="I114" s="1"/>
      <c r="J114" s="1"/>
      <c r="K114" s="1"/>
      <c r="L114" s="1"/>
      <c r="M114" s="1"/>
      <c r="N114" s="1"/>
      <c r="O114" s="1"/>
      <c r="P114" s="1"/>
      <c r="Q114" s="1"/>
      <c r="R114" s="1"/>
      <c r="S114" s="1"/>
      <c r="T114" s="1"/>
      <c r="U114" s="1"/>
      <c r="V114" s="1"/>
      <c r="W114" s="1"/>
      <c r="X114" s="1"/>
      <c r="Y114" s="1"/>
      <c r="Z114" s="1"/>
    </row>
    <row r="115" spans="1:26" s="185" customFormat="1" ht="15.75" customHeight="1" thickBot="1" x14ac:dyDescent="0.35">
      <c r="A115" s="3">
        <v>45527</v>
      </c>
      <c r="B115" s="5">
        <v>3036412.34</v>
      </c>
      <c r="C115" s="5">
        <v>3036412.34</v>
      </c>
      <c r="D115" s="5">
        <v>0</v>
      </c>
      <c r="E115" s="5">
        <v>0</v>
      </c>
      <c r="F115" s="5">
        <v>0</v>
      </c>
      <c r="G115" s="11">
        <v>0</v>
      </c>
      <c r="H115" s="2"/>
      <c r="I115" s="1"/>
      <c r="J115" s="1"/>
      <c r="K115" s="1"/>
      <c r="L115" s="1"/>
      <c r="M115" s="1"/>
      <c r="N115" s="1"/>
      <c r="O115" s="1"/>
      <c r="P115" s="1"/>
      <c r="Q115" s="1"/>
      <c r="R115" s="1"/>
      <c r="S115" s="1"/>
      <c r="T115" s="1"/>
      <c r="U115" s="1"/>
      <c r="V115" s="1"/>
      <c r="W115" s="1"/>
      <c r="X115" s="1"/>
      <c r="Y115" s="1"/>
      <c r="Z115" s="1"/>
    </row>
    <row r="116" spans="1:26" s="185" customFormat="1" ht="15.75" customHeight="1" x14ac:dyDescent="0.3">
      <c r="A116" s="3"/>
      <c r="B116" s="5"/>
      <c r="C116" s="5"/>
      <c r="D116" s="5"/>
      <c r="E116" s="5"/>
      <c r="F116" s="5"/>
      <c r="G116" s="11"/>
      <c r="H116" s="2"/>
      <c r="I116" s="1"/>
      <c r="J116" s="1"/>
      <c r="K116" s="1"/>
      <c r="L116" s="1"/>
      <c r="M116" s="1"/>
      <c r="N116" s="1"/>
      <c r="O116" s="1"/>
      <c r="P116" s="1"/>
      <c r="Q116" s="1"/>
      <c r="R116" s="1"/>
      <c r="S116" s="1"/>
      <c r="T116" s="1"/>
      <c r="U116" s="1"/>
      <c r="V116" s="1"/>
      <c r="W116" s="1"/>
      <c r="X116" s="1"/>
      <c r="Y116" s="1"/>
      <c r="Z116" s="1"/>
    </row>
    <row r="117" spans="1:26" ht="15.75" customHeight="1" x14ac:dyDescent="0.3">
      <c r="A117" s="1"/>
      <c r="B117" s="2">
        <f>SUM(B83:B115)</f>
        <v>28248814.34</v>
      </c>
      <c r="C117" s="2">
        <f>SUM(C83:C115)</f>
        <v>11702784.66</v>
      </c>
      <c r="D117" s="2"/>
      <c r="E117" s="2"/>
      <c r="F117" s="2"/>
      <c r="G117" s="1"/>
    </row>
    <row r="118" spans="1:26" ht="15.75" customHeight="1" x14ac:dyDescent="0.3">
      <c r="A118" s="1"/>
      <c r="B118" s="2"/>
      <c r="C118" s="2"/>
      <c r="D118" s="2"/>
      <c r="E118" s="2"/>
      <c r="F118" s="2"/>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5" t="s">
        <v>52</v>
      </c>
      <c r="C119" s="13" t="s">
        <v>53</v>
      </c>
      <c r="D119" s="13" t="s">
        <v>13</v>
      </c>
      <c r="E119" s="2"/>
      <c r="F119" s="2"/>
      <c r="G119" s="1"/>
    </row>
    <row r="120" spans="1:26" ht="15.75" customHeight="1" x14ac:dyDescent="0.3">
      <c r="A120" s="1"/>
      <c r="B120" s="13">
        <f>B117+B79</f>
        <v>41484678.340000004</v>
      </c>
      <c r="C120" s="13">
        <v>41533300.829999998</v>
      </c>
      <c r="D120" s="13">
        <f>C120+B120</f>
        <v>83017979.170000002</v>
      </c>
      <c r="E120" s="2">
        <f>D120-E12</f>
        <v>35579179.170000002</v>
      </c>
      <c r="F120" s="2"/>
      <c r="G120" s="1"/>
    </row>
    <row r="121" spans="1:26" ht="15.75" customHeight="1" x14ac:dyDescent="0.3">
      <c r="A121" s="1"/>
      <c r="B121" s="1"/>
      <c r="C121" s="2"/>
      <c r="D121" s="2"/>
      <c r="E121" s="2"/>
      <c r="F121" s="2"/>
      <c r="G121" s="1"/>
    </row>
    <row r="122" spans="1:26" ht="15.75" customHeight="1" x14ac:dyDescent="0.3">
      <c r="A122" s="1"/>
      <c r="B122" s="1"/>
      <c r="C122" s="2"/>
      <c r="D122" s="2"/>
      <c r="E122" s="2"/>
      <c r="F122" s="2"/>
      <c r="G122" s="1"/>
    </row>
    <row r="123" spans="1:26" ht="15.75" customHeight="1" x14ac:dyDescent="0.3">
      <c r="A123" s="1"/>
      <c r="B123" s="1"/>
      <c r="C123" s="2"/>
      <c r="D123" s="2"/>
      <c r="E123" s="2"/>
      <c r="F123" s="2"/>
      <c r="G123" s="1"/>
    </row>
    <row r="124" spans="1:26" ht="15.75" customHeight="1" x14ac:dyDescent="0.3">
      <c r="A124" s="1"/>
      <c r="B124" s="1"/>
      <c r="C124" s="2"/>
      <c r="D124" s="2"/>
      <c r="E124" s="2"/>
      <c r="F124" s="2"/>
      <c r="G124" s="1"/>
    </row>
    <row r="125" spans="1:26" ht="15.75" customHeight="1" x14ac:dyDescent="0.3">
      <c r="A125" s="1"/>
      <c r="B125" s="1"/>
      <c r="C125" s="2"/>
      <c r="D125" s="2"/>
      <c r="E125" s="2"/>
      <c r="F125" s="2"/>
      <c r="G125" s="1"/>
    </row>
    <row r="126" spans="1:26" ht="15.75" customHeight="1" x14ac:dyDescent="0.3">
      <c r="C126" s="2"/>
      <c r="D126" s="2"/>
      <c r="E126" s="2"/>
      <c r="F126" s="2"/>
    </row>
    <row r="127" spans="1:26" ht="15.75" customHeight="1" x14ac:dyDescent="0.3">
      <c r="C127" s="2"/>
      <c r="D127" s="2"/>
      <c r="E127" s="2"/>
      <c r="F127" s="2"/>
    </row>
    <row r="128" spans="1:26" ht="15.75" customHeight="1" x14ac:dyDescent="0.3">
      <c r="C128" s="2"/>
      <c r="D128" s="2"/>
      <c r="E128" s="2"/>
      <c r="F128" s="2"/>
    </row>
    <row r="129" spans="3:6" ht="15.75" customHeight="1" x14ac:dyDescent="0.3">
      <c r="C129" s="2"/>
      <c r="D129" s="2"/>
      <c r="E129" s="2"/>
      <c r="F129" s="2"/>
    </row>
    <row r="130" spans="3:6" ht="15.75" customHeight="1" x14ac:dyDescent="0.3">
      <c r="C130" s="2"/>
      <c r="D130" s="2"/>
      <c r="E130" s="2"/>
      <c r="F130" s="2"/>
    </row>
    <row r="131" spans="3:6" ht="15.75" customHeight="1" x14ac:dyDescent="0.3">
      <c r="C131" s="2"/>
      <c r="D131" s="2"/>
      <c r="E131" s="2"/>
      <c r="F131" s="2"/>
    </row>
    <row r="132" spans="3:6" ht="15.75" customHeight="1" x14ac:dyDescent="0.3">
      <c r="C132" s="2"/>
      <c r="D132" s="2"/>
      <c r="E132" s="2"/>
      <c r="F132" s="2"/>
    </row>
    <row r="133" spans="3:6" ht="15.75" customHeight="1" x14ac:dyDescent="0.3">
      <c r="C133" s="2"/>
      <c r="D133" s="2"/>
      <c r="E133" s="2"/>
      <c r="F133" s="2"/>
    </row>
    <row r="134" spans="3:6" ht="15.75" customHeight="1" x14ac:dyDescent="0.3">
      <c r="C134" s="2"/>
      <c r="D134" s="2"/>
      <c r="E134" s="2"/>
      <c r="F134" s="2"/>
    </row>
    <row r="135" spans="3:6" ht="15.75" customHeight="1" x14ac:dyDescent="0.3">
      <c r="C135" s="2"/>
      <c r="D135" s="2"/>
      <c r="E135" s="2"/>
      <c r="F135" s="2"/>
    </row>
    <row r="136" spans="3:6" ht="15.75" customHeight="1" x14ac:dyDescent="0.3">
      <c r="C136" s="2"/>
      <c r="D136" s="2"/>
      <c r="E136" s="2"/>
      <c r="F136" s="2"/>
    </row>
    <row r="137" spans="3:6" ht="15.75" customHeight="1" x14ac:dyDescent="0.3">
      <c r="C137" s="2"/>
      <c r="D137" s="2"/>
      <c r="E137" s="2"/>
      <c r="F137" s="2"/>
    </row>
    <row r="138" spans="3:6" ht="15.75" customHeight="1" x14ac:dyDescent="0.3">
      <c r="C138" s="2"/>
      <c r="D138" s="2"/>
      <c r="E138" s="2"/>
      <c r="F138" s="2"/>
    </row>
    <row r="139" spans="3:6" ht="15.75" customHeight="1" x14ac:dyDescent="0.3">
      <c r="C139" s="2"/>
      <c r="D139" s="2"/>
      <c r="E139" s="2"/>
      <c r="F139" s="2"/>
    </row>
    <row r="140" spans="3:6" ht="15.75" customHeight="1" x14ac:dyDescent="0.3">
      <c r="C140" s="2"/>
      <c r="D140" s="2"/>
      <c r="E140" s="2"/>
      <c r="F140" s="2"/>
    </row>
    <row r="141" spans="3:6" ht="15.75" customHeight="1" x14ac:dyDescent="0.3">
      <c r="C141" s="2"/>
      <c r="D141" s="2"/>
      <c r="E141" s="2"/>
      <c r="F141" s="2"/>
    </row>
    <row r="142" spans="3:6" ht="15.75" customHeight="1" x14ac:dyDescent="0.3">
      <c r="C142" s="2"/>
      <c r="D142" s="2"/>
      <c r="E142" s="2"/>
      <c r="F142" s="2"/>
    </row>
    <row r="143" spans="3:6" ht="15.75" customHeight="1" x14ac:dyDescent="0.3">
      <c r="C143" s="2"/>
      <c r="D143" s="2"/>
      <c r="E143" s="2"/>
      <c r="F143" s="2"/>
    </row>
    <row r="144" spans="3:6" ht="15.75" customHeight="1" x14ac:dyDescent="0.3">
      <c r="C144" s="2"/>
      <c r="D144" s="2"/>
      <c r="E144" s="2"/>
      <c r="F144" s="2"/>
    </row>
    <row r="145" spans="3:6" ht="15.75" customHeight="1" x14ac:dyDescent="0.3">
      <c r="C145" s="2"/>
      <c r="D145" s="2"/>
      <c r="E145" s="2"/>
      <c r="F145" s="2"/>
    </row>
    <row r="146" spans="3:6" ht="15.75" customHeight="1" x14ac:dyDescent="0.3">
      <c r="C146" s="2"/>
      <c r="D146" s="2"/>
      <c r="E146" s="2"/>
      <c r="F146" s="2"/>
    </row>
    <row r="147" spans="3:6" ht="15.75" customHeight="1" x14ac:dyDescent="0.3">
      <c r="C147" s="2"/>
      <c r="D147" s="2"/>
      <c r="E147" s="2"/>
      <c r="F147" s="2"/>
    </row>
    <row r="148" spans="3:6" ht="15.75" customHeight="1" x14ac:dyDescent="0.3">
      <c r="C148" s="2"/>
      <c r="D148" s="2"/>
      <c r="E148" s="2"/>
      <c r="F148" s="2"/>
    </row>
    <row r="149" spans="3:6" ht="15.75" customHeight="1" x14ac:dyDescent="0.3">
      <c r="C149" s="2"/>
      <c r="D149" s="2"/>
      <c r="E149" s="2"/>
      <c r="F149" s="2"/>
    </row>
    <row r="150" spans="3:6" ht="15.75" customHeight="1" x14ac:dyDescent="0.3">
      <c r="C150" s="2"/>
      <c r="D150" s="2"/>
      <c r="E150" s="2"/>
      <c r="F150" s="2"/>
    </row>
    <row r="151" spans="3:6" ht="15.75" customHeight="1" x14ac:dyDescent="0.3">
      <c r="C151" s="2"/>
      <c r="D151" s="2"/>
      <c r="E151" s="2"/>
      <c r="F151" s="2"/>
    </row>
    <row r="152" spans="3:6" ht="15.75" customHeight="1" x14ac:dyDescent="0.3">
      <c r="C152" s="2"/>
      <c r="D152" s="2"/>
      <c r="E152" s="2"/>
      <c r="F152" s="2"/>
    </row>
    <row r="153" spans="3:6" ht="15.75" customHeight="1" x14ac:dyDescent="0.3">
      <c r="C153" s="2"/>
      <c r="D153" s="2"/>
      <c r="E153" s="2"/>
      <c r="F153" s="2"/>
    </row>
    <row r="154" spans="3:6" ht="15.75" customHeight="1" x14ac:dyDescent="0.3">
      <c r="C154" s="2"/>
      <c r="D154" s="2"/>
      <c r="E154" s="2"/>
      <c r="F154" s="2"/>
    </row>
    <row r="155" spans="3:6" ht="15.75" customHeight="1" x14ac:dyDescent="0.3">
      <c r="C155" s="2"/>
      <c r="D155" s="2"/>
      <c r="E155" s="2"/>
      <c r="F155" s="2"/>
    </row>
    <row r="156" spans="3:6" ht="15.75" customHeight="1" x14ac:dyDescent="0.3">
      <c r="C156" s="2"/>
      <c r="D156" s="2"/>
      <c r="E156" s="2"/>
      <c r="F156" s="2"/>
    </row>
    <row r="157" spans="3:6" ht="15.75" customHeight="1" x14ac:dyDescent="0.3">
      <c r="C157" s="2"/>
      <c r="D157" s="2"/>
      <c r="E157" s="2"/>
      <c r="F157" s="2"/>
    </row>
    <row r="158" spans="3:6" ht="15.75" customHeight="1" x14ac:dyDescent="0.3">
      <c r="C158" s="2"/>
      <c r="D158" s="2"/>
      <c r="E158" s="2"/>
      <c r="F158" s="2"/>
    </row>
    <row r="159" spans="3:6" ht="15.75" customHeight="1" x14ac:dyDescent="0.3">
      <c r="C159" s="2"/>
      <c r="D159" s="2"/>
      <c r="E159" s="2"/>
      <c r="F159" s="2"/>
    </row>
    <row r="160" spans="3:6" ht="15.75" customHeight="1" x14ac:dyDescent="0.3">
      <c r="C160" s="2"/>
      <c r="D160" s="2"/>
      <c r="E160" s="2"/>
      <c r="F160" s="2"/>
    </row>
    <row r="161" spans="3:6" ht="15.75" customHeight="1" x14ac:dyDescent="0.3">
      <c r="C161" s="2"/>
      <c r="D161" s="2"/>
      <c r="E161" s="2"/>
      <c r="F161" s="2"/>
    </row>
    <row r="162" spans="3:6" ht="15.75" customHeight="1" x14ac:dyDescent="0.3">
      <c r="C162" s="2"/>
      <c r="D162" s="2"/>
      <c r="E162" s="2"/>
      <c r="F162" s="2"/>
    </row>
    <row r="163" spans="3:6" ht="15.75" customHeight="1" x14ac:dyDescent="0.3">
      <c r="C163" s="2"/>
      <c r="D163" s="2"/>
      <c r="E163" s="2"/>
      <c r="F163" s="2"/>
    </row>
    <row r="164" spans="3:6" ht="15.75" customHeight="1" x14ac:dyDescent="0.3">
      <c r="C164" s="2"/>
      <c r="D164" s="2"/>
      <c r="E164" s="2"/>
      <c r="F164" s="2"/>
    </row>
    <row r="165" spans="3:6" ht="15.75" customHeight="1" x14ac:dyDescent="0.3">
      <c r="C165" s="2"/>
      <c r="D165" s="2"/>
      <c r="E165" s="2"/>
      <c r="F165" s="2"/>
    </row>
    <row r="166" spans="3:6" ht="15.75" customHeight="1" x14ac:dyDescent="0.3">
      <c r="C166" s="2"/>
      <c r="D166" s="2"/>
      <c r="E166" s="2"/>
      <c r="F166" s="2"/>
    </row>
    <row r="167" spans="3:6" ht="15.75" customHeight="1" x14ac:dyDescent="0.3">
      <c r="C167" s="2"/>
      <c r="D167" s="2"/>
      <c r="E167" s="2"/>
      <c r="F167" s="2"/>
    </row>
    <row r="168" spans="3:6" ht="15.75" customHeight="1" x14ac:dyDescent="0.3">
      <c r="C168" s="2"/>
      <c r="D168" s="2"/>
      <c r="E168" s="2"/>
      <c r="F168" s="2"/>
    </row>
    <row r="169" spans="3:6" ht="15.75" customHeight="1" x14ac:dyDescent="0.3">
      <c r="C169" s="2"/>
      <c r="D169" s="2"/>
      <c r="E169" s="2"/>
      <c r="F169" s="2"/>
    </row>
    <row r="170" spans="3:6" ht="15.75" customHeight="1" x14ac:dyDescent="0.3">
      <c r="C170" s="2"/>
      <c r="D170" s="2"/>
      <c r="E170" s="2"/>
      <c r="F170" s="2"/>
    </row>
    <row r="171" spans="3:6" ht="15.75" customHeight="1" x14ac:dyDescent="0.3">
      <c r="C171" s="2"/>
      <c r="D171" s="2"/>
      <c r="E171" s="2"/>
      <c r="F171" s="2"/>
    </row>
    <row r="172" spans="3:6" ht="15.75" customHeight="1" x14ac:dyDescent="0.3">
      <c r="C172" s="2"/>
      <c r="D172" s="2"/>
      <c r="E172" s="2"/>
      <c r="F172" s="2"/>
    </row>
    <row r="173" spans="3:6" ht="15.75" customHeight="1" x14ac:dyDescent="0.3">
      <c r="C173" s="2"/>
      <c r="D173" s="2"/>
      <c r="E173" s="2"/>
      <c r="F173" s="2"/>
    </row>
    <row r="174" spans="3:6" ht="15.75" customHeight="1" x14ac:dyDescent="0.3">
      <c r="C174" s="2"/>
      <c r="D174" s="2"/>
      <c r="E174" s="2"/>
      <c r="F174" s="2"/>
    </row>
    <row r="175" spans="3:6" ht="15.75" customHeight="1" x14ac:dyDescent="0.3">
      <c r="C175" s="2"/>
      <c r="D175" s="2"/>
      <c r="E175" s="2"/>
      <c r="F175" s="2"/>
    </row>
    <row r="176" spans="3:6" ht="15.75" customHeight="1" x14ac:dyDescent="0.3">
      <c r="C176" s="2"/>
      <c r="D176" s="2"/>
      <c r="E176" s="2"/>
      <c r="F176" s="2"/>
    </row>
    <row r="177" spans="3:6" ht="15.75" customHeight="1" x14ac:dyDescent="0.3">
      <c r="C177" s="2"/>
      <c r="D177" s="2"/>
      <c r="E177" s="2"/>
      <c r="F177" s="2"/>
    </row>
    <row r="178" spans="3:6" ht="15.75" customHeight="1" x14ac:dyDescent="0.3">
      <c r="C178" s="2"/>
      <c r="D178" s="2"/>
      <c r="E178" s="2"/>
      <c r="F178" s="2"/>
    </row>
    <row r="179" spans="3:6" ht="15.75" customHeight="1" x14ac:dyDescent="0.3">
      <c r="C179" s="2"/>
      <c r="D179" s="2"/>
      <c r="E179" s="2"/>
      <c r="F179" s="2"/>
    </row>
    <row r="180" spans="3:6" ht="15.75" customHeight="1" x14ac:dyDescent="0.3">
      <c r="C180" s="2"/>
      <c r="D180" s="2"/>
      <c r="E180" s="2"/>
      <c r="F180" s="2"/>
    </row>
    <row r="181" spans="3:6" ht="15.75" customHeight="1" x14ac:dyDescent="0.3">
      <c r="C181" s="2"/>
      <c r="D181" s="2"/>
      <c r="E181" s="2"/>
      <c r="F181" s="2"/>
    </row>
    <row r="182" spans="3:6" ht="15.75" customHeight="1" x14ac:dyDescent="0.3">
      <c r="C182" s="2"/>
      <c r="D182" s="2"/>
      <c r="E182" s="2"/>
      <c r="F182" s="2"/>
    </row>
    <row r="183" spans="3:6" ht="15.75" customHeight="1" x14ac:dyDescent="0.3">
      <c r="C183" s="2"/>
      <c r="D183" s="2"/>
      <c r="E183" s="2"/>
      <c r="F183" s="2"/>
    </row>
    <row r="184" spans="3:6" ht="15.75" customHeight="1" x14ac:dyDescent="0.3">
      <c r="C184" s="2"/>
      <c r="D184" s="2"/>
      <c r="E184" s="2"/>
      <c r="F184" s="2"/>
    </row>
    <row r="185" spans="3:6" ht="15.75" customHeight="1" x14ac:dyDescent="0.3">
      <c r="C185" s="2"/>
      <c r="D185" s="2"/>
      <c r="E185" s="2"/>
      <c r="F185" s="2"/>
    </row>
    <row r="186" spans="3:6" ht="15.75" customHeight="1" x14ac:dyDescent="0.3">
      <c r="C186" s="2"/>
      <c r="D186" s="2"/>
      <c r="E186" s="2"/>
      <c r="F186" s="2"/>
    </row>
    <row r="187" spans="3:6" ht="15.75" customHeight="1" x14ac:dyDescent="0.3">
      <c r="C187" s="2"/>
      <c r="D187" s="2"/>
      <c r="E187" s="2"/>
      <c r="F187" s="2"/>
    </row>
    <row r="188" spans="3:6" ht="15.75" customHeight="1" x14ac:dyDescent="0.3">
      <c r="C188" s="2"/>
      <c r="D188" s="2"/>
      <c r="E188" s="2"/>
      <c r="F188" s="2"/>
    </row>
    <row r="189" spans="3:6" ht="15.75" customHeight="1" x14ac:dyDescent="0.3">
      <c r="C189" s="2"/>
      <c r="D189" s="2"/>
      <c r="E189" s="2"/>
      <c r="F189" s="2"/>
    </row>
    <row r="190" spans="3:6" ht="15.75" customHeight="1" x14ac:dyDescent="0.3">
      <c r="C190" s="2"/>
      <c r="D190" s="2"/>
      <c r="E190" s="2"/>
      <c r="F190" s="2"/>
    </row>
    <row r="191" spans="3:6" ht="15.75" customHeight="1" x14ac:dyDescent="0.3">
      <c r="C191" s="2"/>
      <c r="D191" s="2"/>
      <c r="E191" s="2"/>
      <c r="F191" s="2"/>
    </row>
    <row r="192" spans="3:6" ht="15.75" customHeight="1" x14ac:dyDescent="0.3">
      <c r="C192" s="2"/>
      <c r="D192" s="2"/>
      <c r="E192" s="2"/>
      <c r="F192" s="2"/>
    </row>
    <row r="193" spans="3:6" ht="15.75" customHeight="1" x14ac:dyDescent="0.3">
      <c r="C193" s="2"/>
      <c r="D193" s="2"/>
      <c r="E193" s="2"/>
      <c r="F193" s="2"/>
    </row>
    <row r="194" spans="3:6" ht="15.75" customHeight="1" x14ac:dyDescent="0.3">
      <c r="C194" s="2"/>
      <c r="D194" s="2"/>
      <c r="E194" s="2"/>
      <c r="F194" s="2"/>
    </row>
    <row r="195" spans="3:6" ht="15.75" customHeight="1" x14ac:dyDescent="0.3">
      <c r="C195" s="2"/>
      <c r="D195" s="2"/>
      <c r="E195" s="2"/>
      <c r="F195" s="2"/>
    </row>
    <row r="196" spans="3:6" ht="15.75" customHeight="1" x14ac:dyDescent="0.3">
      <c r="C196" s="2"/>
      <c r="D196" s="2"/>
      <c r="E196" s="2"/>
      <c r="F196" s="2"/>
    </row>
    <row r="197" spans="3:6" ht="15.75" customHeight="1" x14ac:dyDescent="0.3">
      <c r="C197" s="2"/>
      <c r="D197" s="2"/>
      <c r="E197" s="2"/>
      <c r="F197" s="2"/>
    </row>
    <row r="198" spans="3:6" ht="15.75" customHeight="1" x14ac:dyDescent="0.3">
      <c r="C198" s="2"/>
      <c r="D198" s="2"/>
      <c r="E198" s="2"/>
      <c r="F198" s="2"/>
    </row>
    <row r="199" spans="3:6" ht="15.75" customHeight="1" x14ac:dyDescent="0.3">
      <c r="C199" s="2"/>
      <c r="D199" s="2"/>
      <c r="E199" s="2"/>
      <c r="F199" s="2"/>
    </row>
    <row r="200" spans="3:6" ht="15.75" customHeight="1" x14ac:dyDescent="0.3">
      <c r="C200" s="2"/>
      <c r="D200" s="2"/>
      <c r="E200" s="2"/>
      <c r="F200" s="2"/>
    </row>
    <row r="201" spans="3:6" ht="15.75" customHeight="1" x14ac:dyDescent="0.3">
      <c r="C201" s="2"/>
      <c r="D201" s="2"/>
      <c r="E201" s="2"/>
      <c r="F201" s="2"/>
    </row>
    <row r="202" spans="3:6" ht="15.75" customHeight="1" x14ac:dyDescent="0.3">
      <c r="C202" s="2"/>
      <c r="D202" s="2"/>
      <c r="E202" s="2"/>
      <c r="F202" s="2"/>
    </row>
    <row r="203" spans="3:6" ht="15.75" customHeight="1" x14ac:dyDescent="0.3">
      <c r="C203" s="2"/>
      <c r="D203" s="2"/>
      <c r="E203" s="2"/>
      <c r="F203" s="2"/>
    </row>
    <row r="204" spans="3:6" ht="15.75" customHeight="1" x14ac:dyDescent="0.3">
      <c r="C204" s="2"/>
      <c r="D204" s="2"/>
      <c r="E204" s="2"/>
      <c r="F204" s="2"/>
    </row>
    <row r="205" spans="3:6" ht="15.75" customHeight="1" x14ac:dyDescent="0.3">
      <c r="C205" s="2"/>
      <c r="D205" s="2"/>
      <c r="E205" s="2"/>
      <c r="F205" s="2"/>
    </row>
    <row r="206" spans="3:6" ht="15.75" customHeight="1" x14ac:dyDescent="0.3">
      <c r="C206" s="2"/>
      <c r="D206" s="2"/>
      <c r="E206" s="2"/>
      <c r="F206" s="2"/>
    </row>
    <row r="207" spans="3:6" ht="15.75" customHeight="1" x14ac:dyDescent="0.3">
      <c r="C207" s="2"/>
      <c r="D207" s="2"/>
      <c r="E207" s="2"/>
      <c r="F207" s="2"/>
    </row>
    <row r="208" spans="3:6" ht="15.75" customHeight="1" x14ac:dyDescent="0.3">
      <c r="C208" s="2"/>
      <c r="D208" s="2"/>
      <c r="E208" s="2"/>
      <c r="F208" s="2"/>
    </row>
    <row r="209" spans="3:6" ht="15.75" customHeight="1" x14ac:dyDescent="0.3">
      <c r="C209" s="2"/>
      <c r="D209" s="2"/>
      <c r="E209" s="2"/>
      <c r="F209" s="2"/>
    </row>
    <row r="210" spans="3:6" ht="15.75" customHeight="1" x14ac:dyDescent="0.3">
      <c r="C210" s="2"/>
      <c r="D210" s="2"/>
      <c r="E210" s="2"/>
      <c r="F210" s="2"/>
    </row>
    <row r="211" spans="3:6" ht="15.75" customHeight="1" x14ac:dyDescent="0.3">
      <c r="C211" s="2"/>
      <c r="D211" s="2"/>
      <c r="E211" s="2"/>
      <c r="F211" s="2"/>
    </row>
    <row r="212" spans="3:6" ht="15.75" customHeight="1" x14ac:dyDescent="0.3">
      <c r="C212" s="2"/>
      <c r="D212" s="2"/>
      <c r="E212" s="2"/>
      <c r="F212" s="2"/>
    </row>
    <row r="213" spans="3:6" ht="15.75" customHeight="1" x14ac:dyDescent="0.3">
      <c r="C213" s="2"/>
      <c r="D213" s="2"/>
      <c r="E213" s="2"/>
      <c r="F213" s="2"/>
    </row>
    <row r="214" spans="3:6" ht="15.75" customHeight="1" x14ac:dyDescent="0.3">
      <c r="C214" s="2"/>
      <c r="D214" s="2"/>
      <c r="E214" s="2"/>
      <c r="F214" s="2"/>
    </row>
    <row r="215" spans="3:6" ht="15.75" customHeight="1" x14ac:dyDescent="0.3">
      <c r="C215" s="2"/>
      <c r="D215" s="2"/>
      <c r="E215" s="2"/>
      <c r="F215" s="2"/>
    </row>
    <row r="216" spans="3:6" ht="15.75" customHeight="1" x14ac:dyDescent="0.3">
      <c r="C216" s="2"/>
      <c r="D216" s="2"/>
      <c r="E216" s="2"/>
      <c r="F216" s="2"/>
    </row>
    <row r="217" spans="3:6" ht="15.75" customHeight="1" x14ac:dyDescent="0.3">
      <c r="C217" s="2"/>
      <c r="D217" s="2"/>
      <c r="E217" s="2"/>
      <c r="F217" s="2"/>
    </row>
    <row r="218" spans="3:6" ht="15.75" customHeight="1" x14ac:dyDescent="0.3">
      <c r="C218" s="2"/>
      <c r="D218" s="2"/>
      <c r="E218" s="2"/>
      <c r="F218" s="2"/>
    </row>
    <row r="219" spans="3:6" ht="15.75" customHeight="1" x14ac:dyDescent="0.3">
      <c r="C219" s="2"/>
      <c r="D219" s="2"/>
      <c r="E219" s="2"/>
      <c r="F219" s="2"/>
    </row>
    <row r="220" spans="3:6" ht="15.75" customHeight="1" x14ac:dyDescent="0.3">
      <c r="C220" s="2"/>
      <c r="D220" s="2"/>
      <c r="E220" s="2"/>
      <c r="F220" s="2"/>
    </row>
    <row r="221" spans="3:6" ht="15.75" customHeight="1" x14ac:dyDescent="0.3">
      <c r="C221" s="2"/>
      <c r="D221" s="2"/>
      <c r="E221" s="2"/>
      <c r="F221" s="2"/>
    </row>
    <row r="222" spans="3:6" ht="15.75" customHeight="1" x14ac:dyDescent="0.3">
      <c r="C222" s="2"/>
      <c r="D222" s="2"/>
      <c r="E222" s="2"/>
      <c r="F222" s="2"/>
    </row>
    <row r="223" spans="3:6" ht="15.75" customHeight="1" x14ac:dyDescent="0.3">
      <c r="C223" s="2"/>
      <c r="D223" s="2"/>
      <c r="E223" s="2"/>
      <c r="F223" s="2"/>
    </row>
    <row r="224" spans="3:6" ht="15.75" customHeight="1" x14ac:dyDescent="0.3">
      <c r="C224" s="2"/>
      <c r="D224" s="2"/>
      <c r="E224" s="2"/>
      <c r="F224" s="2"/>
    </row>
    <row r="225" spans="3:6" ht="15.75" customHeight="1" x14ac:dyDescent="0.3">
      <c r="C225" s="2"/>
      <c r="D225" s="2"/>
      <c r="E225" s="2"/>
      <c r="F225" s="2"/>
    </row>
    <row r="226" spans="3:6" ht="15.75" customHeight="1" x14ac:dyDescent="0.3">
      <c r="C226" s="2"/>
      <c r="D226" s="2"/>
      <c r="E226" s="2"/>
      <c r="F226" s="2"/>
    </row>
    <row r="227" spans="3:6" ht="15.75" customHeight="1" x14ac:dyDescent="0.3">
      <c r="C227" s="2"/>
      <c r="D227" s="2"/>
      <c r="E227" s="2"/>
      <c r="F227" s="2"/>
    </row>
    <row r="228" spans="3:6" ht="15.75" customHeight="1" x14ac:dyDescent="0.3">
      <c r="C228" s="2"/>
      <c r="D228" s="2"/>
      <c r="E228" s="2"/>
      <c r="F228" s="2"/>
    </row>
    <row r="229" spans="3:6" ht="15.75" customHeight="1" x14ac:dyDescent="0.3">
      <c r="C229" s="2"/>
      <c r="D229" s="2"/>
      <c r="E229" s="2"/>
      <c r="F229" s="2"/>
    </row>
    <row r="230" spans="3:6" ht="15.75" customHeight="1" x14ac:dyDescent="0.3">
      <c r="C230" s="2"/>
      <c r="D230" s="2"/>
      <c r="E230" s="2"/>
      <c r="F230" s="2"/>
    </row>
    <row r="231" spans="3:6" ht="15.75" customHeight="1" x14ac:dyDescent="0.3">
      <c r="C231" s="2"/>
      <c r="D231" s="2"/>
      <c r="E231" s="2"/>
      <c r="F231" s="2"/>
    </row>
    <row r="232" spans="3:6" ht="15.75" customHeight="1" x14ac:dyDescent="0.3">
      <c r="C232" s="2"/>
      <c r="D232" s="2"/>
      <c r="E232" s="2"/>
      <c r="F232" s="2"/>
    </row>
    <row r="233" spans="3:6" ht="15.75" customHeight="1" x14ac:dyDescent="0.3">
      <c r="C233" s="2"/>
      <c r="D233" s="2"/>
      <c r="E233" s="2"/>
      <c r="F233" s="2"/>
    </row>
    <row r="234" spans="3:6" ht="15.75" customHeight="1" x14ac:dyDescent="0.3">
      <c r="C234" s="2"/>
      <c r="D234" s="2"/>
      <c r="E234" s="2"/>
      <c r="F234" s="2"/>
    </row>
    <row r="235" spans="3:6" ht="15.75" customHeight="1" x14ac:dyDescent="0.3">
      <c r="C235" s="2"/>
      <c r="D235" s="2"/>
      <c r="E235" s="2"/>
      <c r="F235" s="2"/>
    </row>
    <row r="236" spans="3:6" ht="15.75" customHeight="1" x14ac:dyDescent="0.3">
      <c r="C236" s="2"/>
      <c r="D236" s="2"/>
      <c r="E236" s="2"/>
      <c r="F236" s="2"/>
    </row>
    <row r="237" spans="3:6" ht="15.75" customHeight="1" x14ac:dyDescent="0.3">
      <c r="C237" s="2"/>
      <c r="D237" s="2"/>
      <c r="E237" s="2"/>
      <c r="F237" s="2"/>
    </row>
    <row r="238" spans="3:6" ht="15.75" customHeight="1" x14ac:dyDescent="0.3">
      <c r="C238" s="2"/>
      <c r="D238" s="2"/>
      <c r="E238" s="2"/>
      <c r="F238" s="2"/>
    </row>
    <row r="239" spans="3:6" ht="15.75" customHeight="1" x14ac:dyDescent="0.3">
      <c r="C239" s="2"/>
      <c r="D239" s="2"/>
      <c r="E239" s="2"/>
      <c r="F239" s="2"/>
    </row>
    <row r="240" spans="3:6" ht="15.75" customHeight="1" x14ac:dyDescent="0.3">
      <c r="C240" s="2"/>
      <c r="D240" s="2"/>
      <c r="E240" s="2"/>
      <c r="F240" s="2"/>
    </row>
    <row r="241" spans="3:6" ht="15.75" customHeight="1" x14ac:dyDescent="0.3">
      <c r="C241" s="2"/>
      <c r="D241" s="2"/>
      <c r="E241" s="2"/>
      <c r="F241" s="2"/>
    </row>
    <row r="242" spans="3:6" ht="15.75" customHeight="1" x14ac:dyDescent="0.3">
      <c r="C242" s="2"/>
      <c r="D242" s="2"/>
      <c r="E242" s="2"/>
      <c r="F242" s="2"/>
    </row>
    <row r="243" spans="3:6" ht="15.75" customHeight="1" x14ac:dyDescent="0.3">
      <c r="C243" s="2"/>
      <c r="D243" s="2"/>
      <c r="E243" s="2"/>
      <c r="F243" s="2"/>
    </row>
    <row r="244" spans="3:6" ht="15.75" customHeight="1" x14ac:dyDescent="0.3">
      <c r="C244" s="2"/>
      <c r="D244" s="2"/>
      <c r="E244" s="2"/>
      <c r="F244" s="2"/>
    </row>
    <row r="245" spans="3:6" ht="15.75" customHeight="1" x14ac:dyDescent="0.3">
      <c r="C245" s="2"/>
      <c r="D245" s="2"/>
      <c r="E245" s="2"/>
      <c r="F245" s="2"/>
    </row>
    <row r="246" spans="3:6" ht="15.75" customHeight="1" x14ac:dyDescent="0.3">
      <c r="C246" s="2"/>
      <c r="D246" s="2"/>
      <c r="E246" s="2"/>
      <c r="F246" s="2"/>
    </row>
    <row r="247" spans="3:6" ht="15.75" customHeight="1" x14ac:dyDescent="0.3">
      <c r="C247" s="2"/>
      <c r="D247" s="2"/>
      <c r="E247" s="2"/>
      <c r="F247" s="2"/>
    </row>
    <row r="248" spans="3:6" ht="15.75" customHeight="1" x14ac:dyDescent="0.3">
      <c r="C248" s="2"/>
      <c r="D248" s="2"/>
      <c r="E248" s="2"/>
      <c r="F248" s="2"/>
    </row>
    <row r="249" spans="3:6" ht="15.75" customHeight="1" x14ac:dyDescent="0.3">
      <c r="C249" s="2"/>
      <c r="D249" s="2"/>
      <c r="E249" s="2"/>
      <c r="F249" s="2"/>
    </row>
    <row r="250" spans="3:6" ht="15.75" customHeight="1" x14ac:dyDescent="0.3">
      <c r="C250" s="2"/>
      <c r="D250" s="2"/>
      <c r="E250" s="2"/>
      <c r="F250" s="2"/>
    </row>
    <row r="251" spans="3:6" ht="15.75" customHeight="1" x14ac:dyDescent="0.3">
      <c r="C251" s="2"/>
      <c r="D251" s="2"/>
      <c r="E251" s="2"/>
      <c r="F251" s="2"/>
    </row>
    <row r="252" spans="3:6" ht="15.75" customHeight="1" x14ac:dyDescent="0.3">
      <c r="C252" s="2"/>
      <c r="D252" s="2"/>
      <c r="E252" s="2"/>
      <c r="F252" s="2"/>
    </row>
    <row r="253" spans="3:6" ht="15.75" customHeight="1" x14ac:dyDescent="0.3">
      <c r="C253" s="2"/>
      <c r="D253" s="2"/>
      <c r="E253" s="2"/>
      <c r="F253" s="2"/>
    </row>
    <row r="254" spans="3:6" ht="15.75" customHeight="1" x14ac:dyDescent="0.3">
      <c r="C254" s="2"/>
      <c r="D254" s="2"/>
      <c r="E254" s="2"/>
      <c r="F254" s="2"/>
    </row>
    <row r="255" spans="3:6" ht="15.75" customHeight="1" x14ac:dyDescent="0.3">
      <c r="C255" s="2"/>
      <c r="D255" s="2"/>
      <c r="E255" s="2"/>
      <c r="F255" s="2"/>
    </row>
    <row r="256" spans="3:6" ht="15.75" customHeight="1" x14ac:dyDescent="0.3">
      <c r="C256" s="2"/>
      <c r="D256" s="2"/>
      <c r="E256" s="2"/>
      <c r="F256" s="2"/>
    </row>
    <row r="257" spans="3:6" ht="15.75" customHeight="1" x14ac:dyDescent="0.3">
      <c r="C257" s="2"/>
      <c r="D257" s="2"/>
      <c r="E257" s="2"/>
      <c r="F257" s="2"/>
    </row>
    <row r="258" spans="3:6" ht="15.75" customHeight="1" x14ac:dyDescent="0.3">
      <c r="C258" s="2"/>
      <c r="D258" s="2"/>
      <c r="E258" s="2"/>
      <c r="F258" s="2"/>
    </row>
    <row r="259" spans="3:6" ht="15.75" customHeight="1" x14ac:dyDescent="0.3">
      <c r="C259" s="2"/>
      <c r="D259" s="2"/>
      <c r="E259" s="2"/>
      <c r="F259" s="2"/>
    </row>
    <row r="260" spans="3:6" ht="15.75" customHeight="1" x14ac:dyDescent="0.3">
      <c r="C260" s="2"/>
      <c r="D260" s="2"/>
      <c r="E260" s="2"/>
      <c r="F260" s="2"/>
    </row>
    <row r="261" spans="3:6" ht="15.75" customHeight="1" x14ac:dyDescent="0.3">
      <c r="C261" s="2"/>
      <c r="D261" s="2"/>
      <c r="E261" s="2"/>
      <c r="F261" s="2"/>
    </row>
    <row r="262" spans="3:6" ht="15.75" customHeight="1" x14ac:dyDescent="0.3">
      <c r="C262" s="2"/>
      <c r="D262" s="2"/>
      <c r="E262" s="2"/>
      <c r="F262" s="2"/>
    </row>
    <row r="263" spans="3:6" ht="15.75" customHeight="1" x14ac:dyDescent="0.3">
      <c r="C263" s="2"/>
      <c r="D263" s="2"/>
      <c r="E263" s="2"/>
      <c r="F263" s="2"/>
    </row>
    <row r="264" spans="3:6" ht="15.75" customHeight="1" x14ac:dyDescent="0.3">
      <c r="C264" s="2"/>
      <c r="D264" s="2"/>
      <c r="E264" s="2"/>
      <c r="F264" s="2"/>
    </row>
    <row r="265" spans="3:6" ht="15.75" customHeight="1" x14ac:dyDescent="0.3">
      <c r="C265" s="2"/>
      <c r="D265" s="2"/>
      <c r="E265" s="2"/>
      <c r="F265" s="2"/>
    </row>
    <row r="266" spans="3:6" ht="15.75" customHeight="1" x14ac:dyDescent="0.3">
      <c r="C266" s="2"/>
      <c r="D266" s="2"/>
      <c r="E266" s="2"/>
      <c r="F266" s="2"/>
    </row>
    <row r="267" spans="3:6" ht="15.75" customHeight="1" x14ac:dyDescent="0.3">
      <c r="C267" s="2"/>
      <c r="D267" s="2"/>
      <c r="E267" s="2"/>
      <c r="F267" s="2"/>
    </row>
    <row r="268" spans="3:6" ht="15.75" customHeight="1" x14ac:dyDescent="0.3">
      <c r="C268" s="2"/>
      <c r="D268" s="2"/>
      <c r="E268" s="2"/>
      <c r="F268" s="2"/>
    </row>
    <row r="269" spans="3:6" ht="15.75" customHeight="1" x14ac:dyDescent="0.3">
      <c r="C269" s="2"/>
      <c r="D269" s="2"/>
      <c r="E269" s="2"/>
      <c r="F269" s="2"/>
    </row>
    <row r="270" spans="3:6" ht="15.75" customHeight="1" x14ac:dyDescent="0.3">
      <c r="C270" s="2"/>
      <c r="D270" s="2"/>
      <c r="E270" s="2"/>
      <c r="F270" s="2"/>
    </row>
    <row r="271" spans="3:6" ht="15.75" customHeight="1" x14ac:dyDescent="0.3">
      <c r="C271" s="2"/>
      <c r="D271" s="2"/>
      <c r="E271" s="2"/>
      <c r="F271" s="2"/>
    </row>
    <row r="272" spans="3:6" ht="15.75" customHeight="1" x14ac:dyDescent="0.3">
      <c r="C272" s="2"/>
      <c r="D272" s="2"/>
      <c r="E272" s="2"/>
      <c r="F272" s="2"/>
    </row>
    <row r="273" spans="3:6" ht="15.75" customHeight="1" x14ac:dyDescent="0.3">
      <c r="C273" s="2"/>
      <c r="D273" s="2"/>
      <c r="E273" s="2"/>
      <c r="F273" s="2"/>
    </row>
    <row r="274" spans="3:6" ht="15.75" customHeight="1" x14ac:dyDescent="0.3">
      <c r="C274" s="2"/>
      <c r="D274" s="2"/>
      <c r="E274" s="2"/>
      <c r="F274" s="2"/>
    </row>
    <row r="275" spans="3:6" ht="15.75" customHeight="1" x14ac:dyDescent="0.3">
      <c r="C275" s="2"/>
      <c r="D275" s="2"/>
      <c r="E275" s="2"/>
      <c r="F275" s="2"/>
    </row>
    <row r="276" spans="3:6" ht="15.75" customHeight="1" x14ac:dyDescent="0.3">
      <c r="C276" s="2"/>
      <c r="D276" s="2"/>
      <c r="E276" s="2"/>
      <c r="F276" s="2"/>
    </row>
    <row r="277" spans="3:6" ht="15.75" customHeight="1" x14ac:dyDescent="0.3">
      <c r="C277" s="2"/>
      <c r="D277" s="2"/>
      <c r="E277" s="2"/>
      <c r="F277" s="2"/>
    </row>
    <row r="278" spans="3:6" ht="15.75" customHeight="1" x14ac:dyDescent="0.3">
      <c r="C278" s="2"/>
      <c r="D278" s="2"/>
      <c r="E278" s="2"/>
      <c r="F278" s="2"/>
    </row>
    <row r="279" spans="3:6" ht="15.75" customHeight="1" x14ac:dyDescent="0.3">
      <c r="C279" s="2"/>
      <c r="D279" s="2"/>
      <c r="E279" s="2"/>
      <c r="F279" s="2"/>
    </row>
    <row r="280" spans="3:6" ht="15.75" customHeight="1" x14ac:dyDescent="0.3">
      <c r="C280" s="2"/>
      <c r="D280" s="2"/>
      <c r="E280" s="2"/>
      <c r="F280" s="2"/>
    </row>
    <row r="281" spans="3:6" ht="15.75" customHeight="1" x14ac:dyDescent="0.3">
      <c r="C281" s="2"/>
      <c r="D281" s="2"/>
      <c r="E281" s="2"/>
      <c r="F281" s="2"/>
    </row>
    <row r="282" spans="3:6" ht="15.75" customHeight="1" x14ac:dyDescent="0.3">
      <c r="C282" s="2"/>
      <c r="D282" s="2"/>
      <c r="E282" s="2"/>
      <c r="F282" s="2"/>
    </row>
    <row r="283" spans="3:6" ht="15.75" customHeight="1" x14ac:dyDescent="0.3">
      <c r="C283" s="2"/>
      <c r="D283" s="2"/>
      <c r="E283" s="2"/>
      <c r="F283" s="2"/>
    </row>
    <row r="284" spans="3:6" ht="15.75" customHeight="1" x14ac:dyDescent="0.3">
      <c r="C284" s="2"/>
      <c r="D284" s="2"/>
      <c r="E284" s="2"/>
      <c r="F284" s="2"/>
    </row>
    <row r="285" spans="3:6" ht="15.75" customHeight="1" x14ac:dyDescent="0.3">
      <c r="C285" s="2"/>
      <c r="D285" s="2"/>
      <c r="E285" s="2"/>
      <c r="F285" s="2"/>
    </row>
    <row r="286" spans="3:6" ht="15.75" customHeight="1" x14ac:dyDescent="0.3">
      <c r="C286" s="2"/>
      <c r="D286" s="2"/>
      <c r="E286" s="2"/>
      <c r="F286" s="2"/>
    </row>
    <row r="287" spans="3:6" ht="15.75" customHeight="1" x14ac:dyDescent="0.3">
      <c r="C287" s="2"/>
      <c r="D287" s="2"/>
      <c r="E287" s="2"/>
      <c r="F287" s="2"/>
    </row>
    <row r="288" spans="3:6" ht="15.75" customHeight="1" x14ac:dyDescent="0.3">
      <c r="C288" s="2"/>
      <c r="D288" s="2"/>
      <c r="E288" s="2"/>
      <c r="F288" s="2"/>
    </row>
    <row r="289" spans="3:6" ht="15.75" customHeight="1" x14ac:dyDescent="0.3">
      <c r="C289" s="2"/>
      <c r="D289" s="2"/>
      <c r="E289" s="2"/>
      <c r="F289" s="2"/>
    </row>
    <row r="290" spans="3:6" ht="15.75" customHeight="1" x14ac:dyDescent="0.3">
      <c r="C290" s="2"/>
      <c r="D290" s="2"/>
      <c r="E290" s="2"/>
      <c r="F290" s="2"/>
    </row>
    <row r="291" spans="3:6" ht="15.75" customHeight="1" x14ac:dyDescent="0.3">
      <c r="C291" s="2"/>
      <c r="D291" s="2"/>
      <c r="E291" s="2"/>
      <c r="F291" s="2"/>
    </row>
    <row r="292" spans="3:6" ht="15.75" customHeight="1" x14ac:dyDescent="0.3">
      <c r="C292" s="2"/>
      <c r="D292" s="2"/>
      <c r="E292" s="2"/>
      <c r="F292" s="2"/>
    </row>
    <row r="293" spans="3:6" ht="15.75" customHeight="1" x14ac:dyDescent="0.3">
      <c r="C293" s="2"/>
      <c r="D293" s="2"/>
      <c r="E293" s="2"/>
      <c r="F293" s="2"/>
    </row>
    <row r="294" spans="3:6" ht="15.75" customHeight="1" x14ac:dyDescent="0.3">
      <c r="C294" s="2"/>
      <c r="D294" s="2"/>
      <c r="E294" s="2"/>
      <c r="F294" s="2"/>
    </row>
    <row r="295" spans="3:6" ht="15.75" customHeight="1" x14ac:dyDescent="0.3">
      <c r="C295" s="2"/>
      <c r="D295" s="2"/>
      <c r="E295" s="2"/>
      <c r="F295" s="2"/>
    </row>
    <row r="296" spans="3:6" ht="15.75" customHeight="1" x14ac:dyDescent="0.3">
      <c r="C296" s="2"/>
      <c r="D296" s="2"/>
      <c r="E296" s="2"/>
      <c r="F296" s="2"/>
    </row>
    <row r="297" spans="3:6" ht="15.75" customHeight="1" x14ac:dyDescent="0.3">
      <c r="C297" s="2"/>
      <c r="D297" s="2"/>
      <c r="E297" s="2"/>
      <c r="F297" s="2"/>
    </row>
    <row r="298" spans="3:6" ht="15.75" customHeight="1" x14ac:dyDescent="0.3">
      <c r="C298" s="2"/>
      <c r="D298" s="2"/>
      <c r="E298" s="2"/>
      <c r="F298" s="2"/>
    </row>
    <row r="299" spans="3:6" ht="15.75" customHeight="1" x14ac:dyDescent="0.3">
      <c r="C299" s="2"/>
      <c r="D299" s="2"/>
      <c r="E299" s="2"/>
      <c r="F299" s="2"/>
    </row>
    <row r="300" spans="3:6" ht="15.75" customHeight="1" x14ac:dyDescent="0.3">
      <c r="C300" s="2"/>
      <c r="D300" s="2"/>
      <c r="E300" s="2"/>
      <c r="F300" s="2"/>
    </row>
    <row r="301" spans="3:6" ht="15.75" customHeight="1" x14ac:dyDescent="0.3">
      <c r="C301" s="2"/>
      <c r="D301" s="2"/>
      <c r="E301" s="2"/>
      <c r="F301" s="2"/>
    </row>
    <row r="302" spans="3:6" ht="15.75" customHeight="1" x14ac:dyDescent="0.3">
      <c r="C302" s="2"/>
      <c r="D302" s="2"/>
      <c r="E302" s="2"/>
      <c r="F302" s="2"/>
    </row>
    <row r="303" spans="3:6" ht="15.75" customHeight="1" x14ac:dyDescent="0.3">
      <c r="C303" s="2"/>
      <c r="D303" s="2"/>
      <c r="E303" s="2"/>
      <c r="F303" s="2"/>
    </row>
    <row r="304" spans="3:6" ht="15.75" customHeight="1" x14ac:dyDescent="0.3">
      <c r="C304" s="2"/>
      <c r="D304" s="2"/>
      <c r="E304" s="2"/>
      <c r="F304" s="2"/>
    </row>
    <row r="305" spans="3:6" ht="15.75" customHeight="1" x14ac:dyDescent="0.3">
      <c r="C305" s="2"/>
      <c r="D305" s="2"/>
      <c r="E305" s="2"/>
      <c r="F305" s="2"/>
    </row>
    <row r="306" spans="3:6" ht="15.75" customHeight="1" x14ac:dyDescent="0.3">
      <c r="C306" s="2"/>
      <c r="D306" s="2"/>
      <c r="E306" s="2"/>
      <c r="F306" s="2"/>
    </row>
    <row r="307" spans="3:6" ht="15.75" customHeight="1" x14ac:dyDescent="0.3">
      <c r="C307" s="2"/>
      <c r="D307" s="2"/>
      <c r="E307" s="2"/>
      <c r="F307" s="2"/>
    </row>
    <row r="308" spans="3:6" ht="15.75" customHeight="1" x14ac:dyDescent="0.3">
      <c r="C308" s="2"/>
      <c r="D308" s="2"/>
      <c r="E308" s="2"/>
      <c r="F308" s="2"/>
    </row>
    <row r="309" spans="3:6" ht="15.75" customHeight="1" x14ac:dyDescent="0.3">
      <c r="C309" s="2"/>
      <c r="D309" s="2"/>
      <c r="E309" s="2"/>
      <c r="F309" s="2"/>
    </row>
    <row r="310" spans="3:6" ht="15.75" customHeight="1" x14ac:dyDescent="0.3">
      <c r="C310" s="2"/>
      <c r="D310" s="2"/>
      <c r="E310" s="2"/>
      <c r="F310" s="2"/>
    </row>
    <row r="311" spans="3:6" ht="15.75" customHeight="1" x14ac:dyDescent="0.3">
      <c r="C311" s="2"/>
      <c r="D311" s="2"/>
      <c r="E311" s="2"/>
      <c r="F311" s="2"/>
    </row>
    <row r="312" spans="3:6" ht="15.75" customHeight="1" x14ac:dyDescent="0.3">
      <c r="C312" s="2"/>
      <c r="D312" s="2"/>
      <c r="E312" s="2"/>
      <c r="F312" s="2"/>
    </row>
    <row r="313" spans="3:6" ht="15.75" customHeight="1" x14ac:dyDescent="0.3">
      <c r="C313" s="2"/>
      <c r="D313" s="2"/>
      <c r="E313" s="2"/>
      <c r="F313" s="2"/>
    </row>
    <row r="314" spans="3:6" ht="15.75" customHeight="1" x14ac:dyDescent="0.3">
      <c r="C314" s="2"/>
      <c r="D314" s="2"/>
      <c r="E314" s="2"/>
      <c r="F314" s="2"/>
    </row>
    <row r="315" spans="3:6" ht="15.75" customHeight="1" x14ac:dyDescent="0.3">
      <c r="C315" s="2"/>
      <c r="D315" s="2"/>
      <c r="E315" s="2"/>
      <c r="F315" s="2"/>
    </row>
    <row r="316" spans="3:6" ht="15.75" customHeight="1" x14ac:dyDescent="0.3">
      <c r="C316" s="2"/>
      <c r="D316" s="2"/>
      <c r="E316" s="2"/>
      <c r="F316" s="2"/>
    </row>
    <row r="317" spans="3:6" ht="15.75" customHeight="1" x14ac:dyDescent="0.3">
      <c r="C317" s="2"/>
      <c r="D317" s="2"/>
      <c r="E317" s="2"/>
      <c r="F317" s="2"/>
    </row>
    <row r="318" spans="3:6" ht="15.75" customHeight="1" x14ac:dyDescent="0.3">
      <c r="C318" s="2"/>
      <c r="D318" s="2"/>
      <c r="E318" s="2"/>
      <c r="F318" s="2"/>
    </row>
    <row r="319" spans="3:6" ht="15.75" customHeight="1" x14ac:dyDescent="0.3">
      <c r="C319" s="2"/>
      <c r="D319" s="2"/>
      <c r="E319" s="2"/>
      <c r="F319" s="2"/>
    </row>
    <row r="320" spans="3:6" ht="15.75" customHeight="1" x14ac:dyDescent="0.3">
      <c r="C320" s="2"/>
      <c r="D320" s="2"/>
      <c r="E320" s="2"/>
      <c r="F320" s="2"/>
    </row>
    <row r="321" spans="3:6" ht="15.75" customHeight="1" x14ac:dyDescent="0.3">
      <c r="C321" s="2"/>
      <c r="D321" s="2"/>
      <c r="E321" s="2"/>
      <c r="F321" s="2"/>
    </row>
    <row r="322" spans="3:6" ht="15.75" customHeight="1" x14ac:dyDescent="0.3"/>
    <row r="323" spans="3:6" ht="15.75" customHeight="1" x14ac:dyDescent="0.3"/>
    <row r="324" spans="3:6" ht="15.75" customHeight="1" x14ac:dyDescent="0.3"/>
    <row r="325" spans="3:6" ht="15.75" customHeight="1" x14ac:dyDescent="0.3"/>
    <row r="326" spans="3:6" ht="15.75" customHeight="1" x14ac:dyDescent="0.3"/>
    <row r="327" spans="3:6" ht="15.75" customHeight="1" x14ac:dyDescent="0.3"/>
    <row r="328" spans="3:6" ht="15.75" customHeight="1" x14ac:dyDescent="0.3"/>
    <row r="329" spans="3:6" ht="15.75" customHeight="1" x14ac:dyDescent="0.3"/>
    <row r="330" spans="3:6" ht="15.75" customHeight="1" x14ac:dyDescent="0.3"/>
    <row r="331" spans="3:6" ht="15.75" customHeight="1" x14ac:dyDescent="0.3"/>
    <row r="332" spans="3:6" ht="15.75" customHeight="1" x14ac:dyDescent="0.3"/>
    <row r="333" spans="3:6" ht="15.75" customHeight="1" x14ac:dyDescent="0.3"/>
    <row r="334" spans="3:6" ht="15.75" customHeight="1" x14ac:dyDescent="0.3"/>
    <row r="335" spans="3:6" ht="15.75" customHeight="1" x14ac:dyDescent="0.3"/>
    <row r="336" spans="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sheetData>
  <autoFilter ref="A1:E1" xr:uid="{00000000-0009-0000-0000-000000000000}"/>
  <mergeCells count="4">
    <mergeCell ref="B15:B16"/>
    <mergeCell ref="C15:C16"/>
    <mergeCell ref="B81:B82"/>
    <mergeCell ref="C81:C82"/>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1339-4676-40D6-BAB7-F6EF1EEB5CF9}">
  <dimension ref="A1:E20"/>
  <sheetViews>
    <sheetView workbookViewId="0">
      <selection activeCell="D21" sqref="D21"/>
    </sheetView>
  </sheetViews>
  <sheetFormatPr baseColWidth="10" defaultRowHeight="14" x14ac:dyDescent="0.3"/>
  <sheetData>
    <row r="1" spans="1:5" x14ac:dyDescent="0.3">
      <c r="A1">
        <v>4800</v>
      </c>
    </row>
    <row r="2" spans="1:5" x14ac:dyDescent="0.3">
      <c r="A2">
        <v>5500</v>
      </c>
    </row>
    <row r="3" spans="1:5" s="199" customFormat="1" x14ac:dyDescent="0.3">
      <c r="A3" s="199">
        <f>SUM(A1:A2)</f>
        <v>10300</v>
      </c>
      <c r="D3" s="199">
        <v>9200</v>
      </c>
    </row>
    <row r="4" spans="1:5" s="199" customFormat="1" x14ac:dyDescent="0.3"/>
    <row r="5" spans="1:5" x14ac:dyDescent="0.3">
      <c r="A5">
        <v>1100</v>
      </c>
      <c r="B5" t="s">
        <v>860</v>
      </c>
    </row>
    <row r="6" spans="1:5" x14ac:dyDescent="0.3">
      <c r="A6">
        <v>850</v>
      </c>
      <c r="B6" t="s">
        <v>861</v>
      </c>
      <c r="D6" s="199">
        <v>850</v>
      </c>
      <c r="E6" s="199" t="s">
        <v>861</v>
      </c>
    </row>
    <row r="7" spans="1:5" x14ac:dyDescent="0.3">
      <c r="A7">
        <v>95</v>
      </c>
      <c r="B7" t="s">
        <v>862</v>
      </c>
      <c r="D7" s="199">
        <v>95</v>
      </c>
      <c r="E7" s="199" t="s">
        <v>862</v>
      </c>
    </row>
    <row r="8" spans="1:5" x14ac:dyDescent="0.3">
      <c r="A8">
        <v>92</v>
      </c>
      <c r="B8" t="s">
        <v>863</v>
      </c>
      <c r="D8" s="199">
        <v>92</v>
      </c>
      <c r="E8" s="199" t="s">
        <v>863</v>
      </c>
    </row>
    <row r="9" spans="1:5" x14ac:dyDescent="0.3">
      <c r="A9">
        <v>11</v>
      </c>
      <c r="B9" t="s">
        <v>864</v>
      </c>
      <c r="D9" s="199">
        <v>11</v>
      </c>
      <c r="E9" s="199" t="s">
        <v>864</v>
      </c>
    </row>
    <row r="10" spans="1:5" x14ac:dyDescent="0.3">
      <c r="A10">
        <v>95</v>
      </c>
      <c r="B10" t="s">
        <v>865</v>
      </c>
      <c r="D10" s="199">
        <v>95</v>
      </c>
      <c r="E10" s="199" t="s">
        <v>865</v>
      </c>
    </row>
    <row r="11" spans="1:5" x14ac:dyDescent="0.3">
      <c r="A11">
        <v>1000</v>
      </c>
      <c r="B11" t="s">
        <v>866</v>
      </c>
      <c r="D11" s="199">
        <v>1000</v>
      </c>
      <c r="E11" s="199" t="s">
        <v>866</v>
      </c>
    </row>
    <row r="12" spans="1:5" x14ac:dyDescent="0.3">
      <c r="A12">
        <v>550</v>
      </c>
      <c r="B12" t="s">
        <v>867</v>
      </c>
      <c r="D12" s="199">
        <v>550</v>
      </c>
      <c r="E12" s="199" t="s">
        <v>867</v>
      </c>
    </row>
    <row r="13" spans="1:5" x14ac:dyDescent="0.3">
      <c r="A13">
        <v>2500</v>
      </c>
      <c r="B13" t="s">
        <v>868</v>
      </c>
      <c r="D13" s="199">
        <v>2500</v>
      </c>
      <c r="E13" s="199" t="s">
        <v>868</v>
      </c>
    </row>
    <row r="14" spans="1:5" x14ac:dyDescent="0.3">
      <c r="A14">
        <v>65</v>
      </c>
      <c r="B14" t="s">
        <v>869</v>
      </c>
      <c r="D14" s="199">
        <v>65</v>
      </c>
      <c r="E14" s="199" t="s">
        <v>869</v>
      </c>
    </row>
    <row r="15" spans="1:5" x14ac:dyDescent="0.3">
      <c r="A15">
        <v>68</v>
      </c>
      <c r="B15" t="s">
        <v>870</v>
      </c>
      <c r="D15" s="199">
        <v>68</v>
      </c>
      <c r="E15" s="199" t="s">
        <v>870</v>
      </c>
    </row>
    <row r="16" spans="1:5" x14ac:dyDescent="0.3">
      <c r="A16">
        <v>2000</v>
      </c>
      <c r="B16" t="s">
        <v>871</v>
      </c>
      <c r="D16" s="199">
        <v>2000</v>
      </c>
      <c r="E16" s="199" t="s">
        <v>871</v>
      </c>
    </row>
    <row r="17" spans="1:5" s="199" customFormat="1" x14ac:dyDescent="0.3">
      <c r="A17" s="199">
        <v>200</v>
      </c>
      <c r="B17" s="199" t="s">
        <v>872</v>
      </c>
      <c r="D17" s="199">
        <v>200</v>
      </c>
      <c r="E17" s="199" t="s">
        <v>872</v>
      </c>
    </row>
    <row r="18" spans="1:5" x14ac:dyDescent="0.3">
      <c r="A18">
        <f>SUM(A5:A17)</f>
        <v>8626</v>
      </c>
      <c r="D18" s="199">
        <f>SUM(D5:D17)</f>
        <v>7526</v>
      </c>
      <c r="E18" s="199"/>
    </row>
    <row r="19" spans="1:5" x14ac:dyDescent="0.3">
      <c r="D19" s="199"/>
      <c r="E19" s="199"/>
    </row>
    <row r="20" spans="1:5" x14ac:dyDescent="0.3">
      <c r="A20">
        <f>A3-A18</f>
        <v>1674</v>
      </c>
      <c r="D20" s="199">
        <f>D3-D18</f>
        <v>1674</v>
      </c>
      <c r="E20" s="19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73B0-B81B-48E5-99CF-64237CE7401F}">
  <dimension ref="A1:D7"/>
  <sheetViews>
    <sheetView workbookViewId="0">
      <selection activeCell="D6" sqref="D6"/>
    </sheetView>
  </sheetViews>
  <sheetFormatPr baseColWidth="10" defaultRowHeight="14" x14ac:dyDescent="0.3"/>
  <cols>
    <col min="1" max="1" width="18.75" customWidth="1"/>
    <col min="2" max="2" width="18.75" style="214" customWidth="1"/>
    <col min="3" max="3" width="12.4140625" bestFit="1" customWidth="1"/>
    <col min="4" max="4" width="31.9140625" bestFit="1" customWidth="1"/>
  </cols>
  <sheetData>
    <row r="1" spans="1:4" s="214" customFormat="1" x14ac:dyDescent="0.3">
      <c r="A1" s="218" t="s">
        <v>907</v>
      </c>
      <c r="B1" s="218" t="s">
        <v>909</v>
      </c>
      <c r="C1" s="218" t="s">
        <v>908</v>
      </c>
      <c r="D1" s="218" t="s">
        <v>915</v>
      </c>
    </row>
    <row r="2" spans="1:4" x14ac:dyDescent="0.3">
      <c r="A2" s="219" t="s">
        <v>905</v>
      </c>
      <c r="B2" s="219" t="s">
        <v>910</v>
      </c>
      <c r="C2" s="220">
        <v>73440</v>
      </c>
      <c r="D2" s="219" t="s">
        <v>906</v>
      </c>
    </row>
    <row r="3" spans="1:4" x14ac:dyDescent="0.3">
      <c r="A3" s="227" t="s">
        <v>913</v>
      </c>
      <c r="B3" s="227" t="s">
        <v>911</v>
      </c>
      <c r="C3" s="228">
        <v>65000</v>
      </c>
      <c r="D3" s="227"/>
    </row>
    <row r="4" spans="1:4" x14ac:dyDescent="0.3">
      <c r="A4" s="222" t="s">
        <v>912</v>
      </c>
      <c r="B4" s="219" t="s">
        <v>914</v>
      </c>
      <c r="C4" s="220">
        <v>88400</v>
      </c>
      <c r="D4" s="219"/>
    </row>
    <row r="5" spans="1:4" x14ac:dyDescent="0.3">
      <c r="A5" s="341" t="s">
        <v>918</v>
      </c>
      <c r="B5" s="341"/>
      <c r="C5" s="221">
        <f>SUM(C2:C4)</f>
        <v>226840</v>
      </c>
      <c r="D5" s="222" t="s">
        <v>916</v>
      </c>
    </row>
    <row r="6" spans="1:4" x14ac:dyDescent="0.3">
      <c r="A6" s="341" t="s">
        <v>919</v>
      </c>
      <c r="B6" s="341"/>
      <c r="C6" s="223">
        <f>C5*19%</f>
        <v>43099.6</v>
      </c>
      <c r="D6" s="224" t="s">
        <v>917</v>
      </c>
    </row>
    <row r="7" spans="1:4" x14ac:dyDescent="0.3">
      <c r="A7" s="342" t="s">
        <v>13</v>
      </c>
      <c r="B7" s="343"/>
      <c r="C7" s="223">
        <f>C5+C6</f>
        <v>269939.59999999998</v>
      </c>
      <c r="D7" s="219"/>
    </row>
  </sheetData>
  <mergeCells count="3">
    <mergeCell ref="A5:B5"/>
    <mergeCell ref="A6:B6"/>
    <mergeCell ref="A7: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45A8-0ED6-4EE8-BBDD-A632DF2C2EF0}">
  <dimension ref="A1:L17"/>
  <sheetViews>
    <sheetView topLeftCell="A4" workbookViewId="0">
      <selection activeCell="D5" sqref="D5"/>
    </sheetView>
  </sheetViews>
  <sheetFormatPr baseColWidth="10" defaultRowHeight="12.5" x14ac:dyDescent="0.25"/>
  <cols>
    <col min="1" max="1" width="32.5" style="239" bestFit="1" customWidth="1"/>
    <col min="2" max="2" width="0" style="239" hidden="1" customWidth="1"/>
    <col min="3" max="3" width="20" style="239" customWidth="1"/>
    <col min="4" max="4" width="21.75" style="240" bestFit="1" customWidth="1"/>
    <col min="5" max="5" width="20.4140625" style="239" hidden="1" customWidth="1"/>
    <col min="6" max="6" width="15.58203125" style="240" bestFit="1" customWidth="1"/>
    <col min="7" max="7" width="36.08203125" style="239" hidden="1" customWidth="1"/>
    <col min="8" max="8" width="36.08203125" style="239" customWidth="1"/>
    <col min="9" max="9" width="22.25" style="239" customWidth="1"/>
    <col min="10" max="10" width="18" style="239" bestFit="1" customWidth="1"/>
    <col min="11" max="11" width="10.6640625" style="239"/>
    <col min="12" max="12" width="0" style="239" hidden="1" customWidth="1"/>
    <col min="13" max="16384" width="10.6640625" style="239"/>
  </cols>
  <sheetData>
    <row r="1" spans="1:12" ht="26.5" thickBot="1" x14ac:dyDescent="0.3">
      <c r="A1" s="253" t="s">
        <v>929</v>
      </c>
      <c r="B1" s="254" t="s">
        <v>930</v>
      </c>
      <c r="C1" s="254" t="s">
        <v>931</v>
      </c>
      <c r="D1" s="254" t="s">
        <v>932</v>
      </c>
      <c r="E1" s="254" t="s">
        <v>933</v>
      </c>
      <c r="F1" s="254" t="s">
        <v>970</v>
      </c>
      <c r="G1" s="245" t="s">
        <v>934</v>
      </c>
      <c r="H1" s="246" t="s">
        <v>972</v>
      </c>
      <c r="I1" s="259" t="s">
        <v>934</v>
      </c>
      <c r="J1" s="241" t="s">
        <v>971</v>
      </c>
      <c r="L1" s="242">
        <f ca="1">TODAY()</f>
        <v>45880</v>
      </c>
    </row>
    <row r="2" spans="1:12" ht="30" x14ac:dyDescent="0.25">
      <c r="A2" s="249" t="s">
        <v>935</v>
      </c>
      <c r="B2" s="249" t="s">
        <v>936</v>
      </c>
      <c r="C2" s="249" t="s">
        <v>937</v>
      </c>
      <c r="D2" s="255">
        <v>50000000</v>
      </c>
      <c r="E2" s="249" t="s">
        <v>938</v>
      </c>
      <c r="F2" s="256">
        <v>45759</v>
      </c>
      <c r="G2" s="247" t="s">
        <v>964</v>
      </c>
      <c r="H2" s="251" t="s">
        <v>973</v>
      </c>
      <c r="I2" s="260" t="s">
        <v>989</v>
      </c>
      <c r="J2" s="243">
        <f ca="1">NETWORKDAYS(F2,$L$1)-2</f>
        <v>84</v>
      </c>
    </row>
    <row r="3" spans="1:12" ht="40" x14ac:dyDescent="0.25">
      <c r="A3" s="249" t="s">
        <v>939</v>
      </c>
      <c r="B3" s="249" t="s">
        <v>940</v>
      </c>
      <c r="C3" s="249" t="s">
        <v>941</v>
      </c>
      <c r="D3" s="255">
        <v>110000000</v>
      </c>
      <c r="E3" s="249" t="s">
        <v>938</v>
      </c>
      <c r="F3" s="256">
        <v>45757</v>
      </c>
      <c r="G3" s="247" t="s">
        <v>965</v>
      </c>
      <c r="H3" s="251" t="s">
        <v>974</v>
      </c>
      <c r="I3" s="260" t="s">
        <v>990</v>
      </c>
      <c r="J3" s="243">
        <f ca="1">NETWORKDAYS(F3,$L$1)-2</f>
        <v>86</v>
      </c>
    </row>
    <row r="4" spans="1:12" ht="30" x14ac:dyDescent="0.25">
      <c r="A4" s="249" t="s">
        <v>942</v>
      </c>
      <c r="B4" s="249" t="s">
        <v>936</v>
      </c>
      <c r="C4" s="249" t="s">
        <v>943</v>
      </c>
      <c r="D4" s="255">
        <v>100000000</v>
      </c>
      <c r="E4" s="249" t="s">
        <v>938</v>
      </c>
      <c r="F4" s="256">
        <v>45761</v>
      </c>
      <c r="G4" s="247" t="s">
        <v>964</v>
      </c>
      <c r="H4" s="251" t="s">
        <v>975</v>
      </c>
      <c r="I4" s="260" t="s">
        <v>990</v>
      </c>
      <c r="J4" s="243">
        <f ca="1">NETWORKDAYS(F4,$L$1)-2</f>
        <v>84</v>
      </c>
    </row>
    <row r="5" spans="1:12" ht="30" x14ac:dyDescent="0.25">
      <c r="A5" s="249" t="s">
        <v>944</v>
      </c>
      <c r="B5" s="249" t="s">
        <v>940</v>
      </c>
      <c r="C5" s="249" t="s">
        <v>941</v>
      </c>
      <c r="D5" s="255">
        <v>60000000</v>
      </c>
      <c r="E5" s="249" t="s">
        <v>945</v>
      </c>
      <c r="F5" s="256">
        <v>45758</v>
      </c>
      <c r="G5" s="247" t="s">
        <v>966</v>
      </c>
      <c r="H5" s="251" t="s">
        <v>976</v>
      </c>
      <c r="I5" s="260" t="s">
        <v>990</v>
      </c>
      <c r="J5" s="243">
        <f ca="1">NETWORKDAYS(F5,$L$1)-2</f>
        <v>85</v>
      </c>
    </row>
    <row r="6" spans="1:12" ht="40" x14ac:dyDescent="0.25">
      <c r="A6" s="262" t="s">
        <v>946</v>
      </c>
      <c r="B6" s="262" t="s">
        <v>947</v>
      </c>
      <c r="C6" s="262" t="s">
        <v>937</v>
      </c>
      <c r="D6" s="263">
        <v>50000000</v>
      </c>
      <c r="E6" s="262" t="s">
        <v>945</v>
      </c>
      <c r="F6" s="264">
        <v>45758</v>
      </c>
      <c r="G6" s="265" t="s">
        <v>966</v>
      </c>
      <c r="H6" s="266" t="s">
        <v>977</v>
      </c>
      <c r="I6" s="260" t="s">
        <v>989</v>
      </c>
      <c r="J6" s="243">
        <v>0</v>
      </c>
    </row>
    <row r="7" spans="1:12" ht="40" x14ac:dyDescent="0.25">
      <c r="A7" s="344" t="s">
        <v>948</v>
      </c>
      <c r="B7" s="344" t="s">
        <v>949</v>
      </c>
      <c r="C7" s="344" t="s">
        <v>950</v>
      </c>
      <c r="D7" s="345">
        <v>160000000</v>
      </c>
      <c r="E7" s="344" t="s">
        <v>945</v>
      </c>
      <c r="F7" s="256">
        <v>45771</v>
      </c>
      <c r="G7" s="247" t="s">
        <v>967</v>
      </c>
      <c r="H7" s="251" t="s">
        <v>979</v>
      </c>
      <c r="I7" s="260" t="s">
        <v>989</v>
      </c>
      <c r="J7" s="243">
        <f ca="1">NETWORKDAYS(F7,$L$1)</f>
        <v>78</v>
      </c>
    </row>
    <row r="8" spans="1:12" ht="30" x14ac:dyDescent="0.25">
      <c r="A8" s="344"/>
      <c r="B8" s="344"/>
      <c r="C8" s="344"/>
      <c r="D8" s="345"/>
      <c r="E8" s="344"/>
      <c r="F8" s="256">
        <v>45748</v>
      </c>
      <c r="G8" s="247" t="s">
        <v>968</v>
      </c>
      <c r="H8" s="251" t="s">
        <v>978</v>
      </c>
      <c r="I8" s="260" t="s">
        <v>990</v>
      </c>
      <c r="J8" s="243">
        <f ca="1">NETWORKDAYS(F8,$L$1)</f>
        <v>95</v>
      </c>
    </row>
    <row r="9" spans="1:12" ht="30" x14ac:dyDescent="0.25">
      <c r="A9" s="249" t="s">
        <v>951</v>
      </c>
      <c r="B9" s="249" t="s">
        <v>940</v>
      </c>
      <c r="C9" s="249" t="s">
        <v>952</v>
      </c>
      <c r="D9" s="255">
        <v>100000000</v>
      </c>
      <c r="E9" s="249" t="s">
        <v>945</v>
      </c>
      <c r="F9" s="256">
        <v>45763</v>
      </c>
      <c r="G9" s="247" t="s">
        <v>966</v>
      </c>
      <c r="H9" s="251" t="s">
        <v>980</v>
      </c>
      <c r="I9" s="260" t="s">
        <v>989</v>
      </c>
      <c r="J9" s="243">
        <f ca="1">NETWORKDAYS(F9,$L$1)-2</f>
        <v>82</v>
      </c>
    </row>
    <row r="10" spans="1:12" ht="30" x14ac:dyDescent="0.25">
      <c r="A10" s="249" t="s">
        <v>953</v>
      </c>
      <c r="B10" s="249" t="s">
        <v>954</v>
      </c>
      <c r="C10" s="249" t="s">
        <v>955</v>
      </c>
      <c r="D10" s="255">
        <v>150000000</v>
      </c>
      <c r="E10" s="249" t="s">
        <v>945</v>
      </c>
      <c r="F10" s="256">
        <v>45747</v>
      </c>
      <c r="G10" s="247" t="s">
        <v>964</v>
      </c>
      <c r="H10" s="251" t="s">
        <v>981</v>
      </c>
      <c r="I10" s="260" t="s">
        <v>990</v>
      </c>
      <c r="J10" s="243">
        <f ca="1">NETWORKDAYS(F10,$L$1)</f>
        <v>96</v>
      </c>
    </row>
    <row r="11" spans="1:12" ht="60" x14ac:dyDescent="0.25">
      <c r="A11" s="249" t="s">
        <v>956</v>
      </c>
      <c r="B11" s="249" t="s">
        <v>949</v>
      </c>
      <c r="C11" s="249" t="s">
        <v>957</v>
      </c>
      <c r="D11" s="255">
        <v>41331000</v>
      </c>
      <c r="E11" s="249" t="s">
        <v>945</v>
      </c>
      <c r="F11" s="256">
        <v>45768</v>
      </c>
      <c r="G11" s="247" t="s">
        <v>969</v>
      </c>
      <c r="H11" s="251" t="s">
        <v>983</v>
      </c>
      <c r="I11" s="260" t="s">
        <v>990</v>
      </c>
      <c r="J11" s="243">
        <f ca="1">NETWORKDAYS(F11,$L$1)</f>
        <v>81</v>
      </c>
    </row>
    <row r="12" spans="1:12" ht="30" x14ac:dyDescent="0.25">
      <c r="A12" s="249" t="s">
        <v>958</v>
      </c>
      <c r="B12" s="249" t="s">
        <v>940</v>
      </c>
      <c r="C12" s="249" t="s">
        <v>957</v>
      </c>
      <c r="D12" s="255">
        <v>50000000</v>
      </c>
      <c r="E12" s="249" t="s">
        <v>945</v>
      </c>
      <c r="F12" s="256">
        <v>45759</v>
      </c>
      <c r="G12" s="247" t="s">
        <v>966</v>
      </c>
      <c r="H12" s="251" t="s">
        <v>982</v>
      </c>
      <c r="I12" s="260" t="s">
        <v>989</v>
      </c>
      <c r="J12" s="243">
        <f ca="1">NETWORKDAYS(F12,$L$1)-2</f>
        <v>84</v>
      </c>
    </row>
    <row r="13" spans="1:12" ht="40" x14ac:dyDescent="0.25">
      <c r="A13" s="249" t="s">
        <v>959</v>
      </c>
      <c r="B13" s="249" t="s">
        <v>954</v>
      </c>
      <c r="C13" s="249" t="s">
        <v>937</v>
      </c>
      <c r="D13" s="255">
        <v>100000000</v>
      </c>
      <c r="E13" s="249" t="s">
        <v>945</v>
      </c>
      <c r="F13" s="256">
        <v>45776</v>
      </c>
      <c r="G13" s="247" t="s">
        <v>964</v>
      </c>
      <c r="H13" s="251" t="s">
        <v>984</v>
      </c>
      <c r="I13" s="260" t="s">
        <v>989</v>
      </c>
      <c r="J13" s="243">
        <v>0</v>
      </c>
    </row>
    <row r="14" spans="1:12" ht="40" hidden="1" x14ac:dyDescent="0.25">
      <c r="A14" s="250" t="s">
        <v>960</v>
      </c>
      <c r="B14" s="250" t="s">
        <v>954</v>
      </c>
      <c r="C14" s="250" t="s">
        <v>937</v>
      </c>
      <c r="D14" s="257">
        <v>100000000</v>
      </c>
      <c r="E14" s="250" t="s">
        <v>945</v>
      </c>
      <c r="F14" s="258">
        <v>45763</v>
      </c>
      <c r="G14" s="248" t="s">
        <v>964</v>
      </c>
      <c r="H14" s="252" t="s">
        <v>985</v>
      </c>
      <c r="I14" s="261" t="s">
        <v>986</v>
      </c>
      <c r="J14" s="243">
        <f ca="1">NETWORKDAYS(F14,$L$1)-2</f>
        <v>82</v>
      </c>
    </row>
    <row r="15" spans="1:12" ht="50" x14ac:dyDescent="0.25">
      <c r="A15" s="249" t="s">
        <v>961</v>
      </c>
      <c r="B15" s="249" t="s">
        <v>954</v>
      </c>
      <c r="C15" s="249" t="s">
        <v>962</v>
      </c>
      <c r="D15" s="255">
        <v>305000000</v>
      </c>
      <c r="E15" s="249" t="s">
        <v>938</v>
      </c>
      <c r="F15" s="256">
        <v>45771</v>
      </c>
      <c r="G15" s="247" t="s">
        <v>965</v>
      </c>
      <c r="H15" s="251" t="s">
        <v>991</v>
      </c>
      <c r="I15" s="260" t="s">
        <v>988</v>
      </c>
      <c r="J15" s="243">
        <f ca="1">NETWORKDAYS(F15,$L$1)</f>
        <v>78</v>
      </c>
    </row>
    <row r="16" spans="1:12" ht="50" x14ac:dyDescent="0.25">
      <c r="A16" s="249" t="s">
        <v>963</v>
      </c>
      <c r="B16" s="249" t="s">
        <v>954</v>
      </c>
      <c r="C16" s="249" t="s">
        <v>962</v>
      </c>
      <c r="D16" s="255">
        <v>320000000</v>
      </c>
      <c r="E16" s="249" t="s">
        <v>938</v>
      </c>
      <c r="F16" s="256">
        <v>45771</v>
      </c>
      <c r="G16" s="247" t="s">
        <v>965</v>
      </c>
      <c r="H16" s="251" t="s">
        <v>987</v>
      </c>
      <c r="I16" s="260" t="s">
        <v>988</v>
      </c>
      <c r="J16" s="243">
        <f ca="1">NETWORKDAYS(F16,$L$1)</f>
        <v>78</v>
      </c>
    </row>
    <row r="17" spans="8:8" x14ac:dyDescent="0.25">
      <c r="H17" s="244"/>
    </row>
  </sheetData>
  <autoFilter ref="A1:J16" xr:uid="{F7754164-B754-4FAC-972C-8D2872E23DE7}"/>
  <mergeCells count="5">
    <mergeCell ref="A7:A8"/>
    <mergeCell ref="B7:B8"/>
    <mergeCell ref="C7:C8"/>
    <mergeCell ref="D7:D8"/>
    <mergeCell ref="E7:E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8BAA-D85F-4542-A9CB-3ADF800D9614}">
  <dimension ref="A1:D16"/>
  <sheetViews>
    <sheetView workbookViewId="0">
      <selection sqref="A1:D16"/>
    </sheetView>
  </sheetViews>
  <sheetFormatPr baseColWidth="10" defaultRowHeight="14" x14ac:dyDescent="0.3"/>
  <cols>
    <col min="1" max="1" width="43.1640625" customWidth="1"/>
    <col min="2" max="2" width="24.9140625" customWidth="1"/>
    <col min="3" max="3" width="14.4140625" style="232" bestFit="1" customWidth="1"/>
    <col min="4" max="4" width="19.08203125" customWidth="1"/>
  </cols>
  <sheetData>
    <row r="1" spans="1:4" s="232" customFormat="1" x14ac:dyDescent="0.3">
      <c r="A1" s="267" t="s">
        <v>1028</v>
      </c>
      <c r="B1" s="267" t="s">
        <v>1027</v>
      </c>
      <c r="C1" s="267" t="s">
        <v>992</v>
      </c>
      <c r="D1" s="267" t="s">
        <v>993</v>
      </c>
    </row>
    <row r="2" spans="1:4" ht="25" x14ac:dyDescent="0.3">
      <c r="A2" s="268" t="s">
        <v>994</v>
      </c>
      <c r="B2" s="268" t="s">
        <v>995</v>
      </c>
      <c r="C2" s="269">
        <v>45747</v>
      </c>
      <c r="D2" s="268" t="s">
        <v>996</v>
      </c>
    </row>
    <row r="3" spans="1:4" ht="37.5" x14ac:dyDescent="0.3">
      <c r="A3" s="270" t="s">
        <v>997</v>
      </c>
      <c r="B3" s="270" t="s">
        <v>998</v>
      </c>
      <c r="C3" s="271">
        <v>45748</v>
      </c>
      <c r="D3" s="270" t="s">
        <v>996</v>
      </c>
    </row>
    <row r="4" spans="1:4" ht="25" x14ac:dyDescent="0.3">
      <c r="A4" s="270" t="s">
        <v>999</v>
      </c>
      <c r="B4" s="270" t="s">
        <v>1000</v>
      </c>
      <c r="C4" s="271">
        <v>45758</v>
      </c>
      <c r="D4" s="270" t="s">
        <v>996</v>
      </c>
    </row>
    <row r="5" spans="1:4" ht="37.5" x14ac:dyDescent="0.3">
      <c r="A5" s="268" t="s">
        <v>1001</v>
      </c>
      <c r="B5" s="268" t="s">
        <v>1002</v>
      </c>
      <c r="C5" s="269">
        <v>45758</v>
      </c>
      <c r="D5" s="268" t="s">
        <v>1003</v>
      </c>
    </row>
    <row r="6" spans="1:4" ht="25" x14ac:dyDescent="0.3">
      <c r="A6" s="268" t="s">
        <v>1004</v>
      </c>
      <c r="B6" s="268" t="s">
        <v>1005</v>
      </c>
      <c r="C6" s="269">
        <v>45758</v>
      </c>
      <c r="D6" s="268" t="s">
        <v>996</v>
      </c>
    </row>
    <row r="7" spans="1:4" ht="25" x14ac:dyDescent="0.3">
      <c r="A7" s="268" t="s">
        <v>1006</v>
      </c>
      <c r="B7" s="268" t="s">
        <v>1007</v>
      </c>
      <c r="C7" s="269">
        <v>45759</v>
      </c>
      <c r="D7" s="268" t="s">
        <v>996</v>
      </c>
    </row>
    <row r="8" spans="1:4" ht="25" x14ac:dyDescent="0.3">
      <c r="A8" s="268" t="s">
        <v>1008</v>
      </c>
      <c r="B8" s="268" t="s">
        <v>1009</v>
      </c>
      <c r="C8" s="269">
        <v>45759</v>
      </c>
      <c r="D8" s="268" t="s">
        <v>1003</v>
      </c>
    </row>
    <row r="9" spans="1:4" ht="25" x14ac:dyDescent="0.3">
      <c r="A9" s="268" t="s">
        <v>1010</v>
      </c>
      <c r="B9" s="268" t="s">
        <v>1011</v>
      </c>
      <c r="C9" s="269">
        <v>45759</v>
      </c>
      <c r="D9" s="268" t="s">
        <v>996</v>
      </c>
    </row>
    <row r="10" spans="1:4" ht="25" x14ac:dyDescent="0.3">
      <c r="A10" s="270" t="s">
        <v>1012</v>
      </c>
      <c r="B10" s="270" t="s">
        <v>1013</v>
      </c>
      <c r="C10" s="271">
        <v>45763</v>
      </c>
      <c r="D10" s="270" t="s">
        <v>1003</v>
      </c>
    </row>
    <row r="11" spans="1:4" ht="25" x14ac:dyDescent="0.3">
      <c r="A11" s="268" t="s">
        <v>1014</v>
      </c>
      <c r="B11" s="268" t="s">
        <v>1015</v>
      </c>
      <c r="C11" s="269">
        <v>45768</v>
      </c>
      <c r="D11" s="268" t="s">
        <v>1003</v>
      </c>
    </row>
    <row r="12" spans="1:4" ht="25" x14ac:dyDescent="0.3">
      <c r="A12" s="270" t="s">
        <v>1016</v>
      </c>
      <c r="B12" s="270" t="s">
        <v>1017</v>
      </c>
      <c r="C12" s="271">
        <v>45768</v>
      </c>
      <c r="D12" s="270" t="s">
        <v>1003</v>
      </c>
    </row>
    <row r="13" spans="1:4" ht="37.5" x14ac:dyDescent="0.3">
      <c r="A13" s="270" t="s">
        <v>1018</v>
      </c>
      <c r="B13" s="270" t="s">
        <v>1019</v>
      </c>
      <c r="C13" s="271">
        <v>45771</v>
      </c>
      <c r="D13" s="270" t="s">
        <v>1020</v>
      </c>
    </row>
    <row r="14" spans="1:4" ht="37.5" x14ac:dyDescent="0.3">
      <c r="A14" s="270" t="s">
        <v>1023</v>
      </c>
      <c r="B14" s="270" t="s">
        <v>1024</v>
      </c>
      <c r="C14" s="271">
        <v>45771</v>
      </c>
      <c r="D14" s="270" t="s">
        <v>1020</v>
      </c>
    </row>
    <row r="15" spans="1:4" ht="37.5" x14ac:dyDescent="0.3">
      <c r="A15" s="268" t="s">
        <v>1021</v>
      </c>
      <c r="B15" s="268" t="s">
        <v>1022</v>
      </c>
      <c r="C15" s="269">
        <v>45773</v>
      </c>
      <c r="D15" s="268" t="s">
        <v>996</v>
      </c>
    </row>
    <row r="16" spans="1:4" ht="37.5" x14ac:dyDescent="0.3">
      <c r="A16" s="270" t="s">
        <v>1025</v>
      </c>
      <c r="B16" s="270" t="s">
        <v>1026</v>
      </c>
      <c r="C16" s="271">
        <v>45776</v>
      </c>
      <c r="D16" s="270" t="s">
        <v>1003</v>
      </c>
    </row>
  </sheetData>
  <autoFilter ref="A1:D16" xr:uid="{B29FFAAF-2F36-4A80-9AA2-CFB1C084462C}">
    <sortState ref="A2:D16">
      <sortCondition ref="C1:C16"/>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sheetViews>
  <sheetFormatPr baseColWidth="10" defaultColWidth="12.6640625" defaultRowHeight="15" customHeight="1" x14ac:dyDescent="0.3"/>
  <cols>
    <col min="1" max="1" width="13" customWidth="1"/>
    <col min="2" max="2" width="23" customWidth="1"/>
    <col min="3" max="4" width="2.5" customWidth="1"/>
    <col min="5" max="5" width="12.9140625" customWidth="1"/>
    <col min="6" max="6" width="2.5" customWidth="1"/>
    <col min="7" max="7" width="10.5" customWidth="1"/>
    <col min="8" max="8" width="3.9140625" customWidth="1"/>
    <col min="9" max="9" width="11.4140625" customWidth="1"/>
    <col min="10" max="10" width="3.5" customWidth="1"/>
    <col min="11" max="11" width="12.9140625" customWidth="1"/>
    <col min="12" max="12" width="2.5" customWidth="1"/>
    <col min="13" max="13" width="12.9140625" customWidth="1"/>
    <col min="14" max="14" width="2.5" customWidth="1"/>
    <col min="15" max="15" width="11.4140625" customWidth="1"/>
    <col min="16" max="16" width="2.5" customWidth="1"/>
    <col min="17" max="17" width="11.4140625" customWidth="1"/>
    <col min="18" max="18" width="2.5" customWidth="1"/>
    <col min="19" max="19" width="12.9140625" customWidth="1"/>
    <col min="20" max="20" width="2.5" customWidth="1"/>
    <col min="21" max="21" width="12.9140625" customWidth="1"/>
    <col min="22" max="22" width="2.5" customWidth="1"/>
    <col min="23" max="23" width="11.4140625" customWidth="1"/>
    <col min="24" max="24" width="2.5" customWidth="1"/>
    <col min="25" max="25" width="13.5" customWidth="1"/>
    <col min="26" max="26" width="2.5" customWidth="1"/>
    <col min="27" max="27" width="12.9140625" customWidth="1"/>
  </cols>
  <sheetData>
    <row r="1" spans="1:27" ht="14.5" x14ac:dyDescent="0.35">
      <c r="D1" s="102" t="s">
        <v>739</v>
      </c>
      <c r="E1" s="103"/>
      <c r="F1" s="103"/>
      <c r="G1" s="103"/>
      <c r="H1" s="103"/>
      <c r="I1" s="103"/>
      <c r="J1" s="103"/>
      <c r="K1" s="103"/>
      <c r="L1" s="103"/>
      <c r="U1" s="104" t="s">
        <v>740</v>
      </c>
      <c r="W1" s="104" t="s">
        <v>741</v>
      </c>
      <c r="Y1" s="104" t="s">
        <v>742</v>
      </c>
      <c r="AA1" s="104" t="s">
        <v>743</v>
      </c>
    </row>
    <row r="2" spans="1:27" ht="14.5" x14ac:dyDescent="0.35">
      <c r="A2" s="105" t="s">
        <v>744</v>
      </c>
      <c r="B2" s="106" t="s">
        <v>745</v>
      </c>
      <c r="D2" s="352" t="s">
        <v>69</v>
      </c>
      <c r="E2" s="349"/>
      <c r="F2" s="353" t="s">
        <v>70</v>
      </c>
      <c r="G2" s="349"/>
      <c r="H2" s="348" t="s">
        <v>59</v>
      </c>
      <c r="I2" s="349"/>
      <c r="J2" s="350" t="s">
        <v>60</v>
      </c>
      <c r="K2" s="347"/>
      <c r="L2" s="346" t="s">
        <v>61</v>
      </c>
      <c r="M2" s="347"/>
      <c r="N2" s="350" t="s">
        <v>62</v>
      </c>
      <c r="O2" s="347"/>
      <c r="P2" s="348" t="s">
        <v>63</v>
      </c>
      <c r="Q2" s="349"/>
      <c r="R2" s="350" t="s">
        <v>64</v>
      </c>
      <c r="S2" s="347"/>
      <c r="T2" s="346" t="s">
        <v>65</v>
      </c>
      <c r="U2" s="347"/>
      <c r="V2" s="348" t="s">
        <v>66</v>
      </c>
      <c r="W2" s="349"/>
      <c r="X2" s="350" t="s">
        <v>67</v>
      </c>
      <c r="Y2" s="347"/>
      <c r="Z2" s="350" t="s">
        <v>68</v>
      </c>
      <c r="AA2" s="347"/>
    </row>
    <row r="3" spans="1:27" ht="14.5" x14ac:dyDescent="0.35">
      <c r="A3" s="107">
        <v>1</v>
      </c>
      <c r="B3" s="108">
        <v>3657.5047619047618</v>
      </c>
      <c r="C3" s="109"/>
      <c r="D3" s="110"/>
      <c r="E3" s="111"/>
      <c r="F3" s="112"/>
      <c r="G3" s="113"/>
      <c r="H3" s="114"/>
      <c r="I3" s="113"/>
      <c r="J3" s="112"/>
      <c r="K3" s="113"/>
      <c r="L3" s="114"/>
      <c r="M3" s="113"/>
      <c r="N3" s="110"/>
      <c r="O3" s="111"/>
      <c r="P3" s="114"/>
      <c r="Q3" s="113"/>
      <c r="R3" s="112"/>
      <c r="S3" s="113"/>
      <c r="T3" s="114">
        <v>1</v>
      </c>
      <c r="U3" s="111">
        <v>1207.6691666666666</v>
      </c>
      <c r="V3" s="114">
        <v>6</v>
      </c>
      <c r="W3" s="111">
        <v>9057.5187499999975</v>
      </c>
      <c r="X3" s="112"/>
      <c r="Y3" s="113"/>
      <c r="Z3" s="112"/>
      <c r="AA3" s="113"/>
    </row>
    <row r="4" spans="1:27" ht="14.5" x14ac:dyDescent="0.35">
      <c r="A4" s="107">
        <v>1.25</v>
      </c>
      <c r="B4" s="108">
        <f>(A4*B3)/A3</f>
        <v>4571.8809523809523</v>
      </c>
      <c r="C4" s="109"/>
      <c r="D4" s="112">
        <v>8</v>
      </c>
      <c r="E4" s="111">
        <v>34504.833333333328</v>
      </c>
      <c r="F4" s="112">
        <v>14</v>
      </c>
      <c r="G4" s="111">
        <v>60383.458333333328</v>
      </c>
      <c r="H4" s="114">
        <v>16</v>
      </c>
      <c r="I4" s="111">
        <v>69009.666666666657</v>
      </c>
      <c r="J4" s="112">
        <v>33</v>
      </c>
      <c r="K4" s="111">
        <v>142332.43749999997</v>
      </c>
      <c r="L4" s="114">
        <v>19</v>
      </c>
      <c r="M4" s="111">
        <v>81948.979166666657</v>
      </c>
      <c r="N4" s="112">
        <v>20</v>
      </c>
      <c r="O4" s="111">
        <v>86262.083333333314</v>
      </c>
      <c r="P4" s="114">
        <v>4</v>
      </c>
      <c r="Q4" s="111">
        <v>17252.416666666664</v>
      </c>
      <c r="R4" s="112">
        <v>11</v>
      </c>
      <c r="S4" s="111">
        <v>47444.145833333328</v>
      </c>
      <c r="T4" s="114">
        <v>29</v>
      </c>
      <c r="U4" s="111">
        <v>125080.02083333331</v>
      </c>
      <c r="V4" s="114">
        <v>31</v>
      </c>
      <c r="W4" s="111">
        <v>133706.22916666666</v>
      </c>
      <c r="X4" s="112">
        <v>42</v>
      </c>
      <c r="Y4" s="111">
        <v>181150.37499999997</v>
      </c>
      <c r="Z4" s="112">
        <v>42</v>
      </c>
      <c r="AA4" s="115">
        <f>$B$4*Z4</f>
        <v>192019</v>
      </c>
    </row>
    <row r="5" spans="1:27" ht="14.5" x14ac:dyDescent="0.35">
      <c r="A5" s="107">
        <v>1.75</v>
      </c>
      <c r="B5" s="108">
        <f>(A5*B3)/A3</f>
        <v>6400.6333333333332</v>
      </c>
      <c r="C5" s="109"/>
      <c r="D5" s="112">
        <v>12</v>
      </c>
      <c r="E5" s="111">
        <v>72460.149999999994</v>
      </c>
      <c r="F5" s="112">
        <v>6</v>
      </c>
      <c r="G5" s="111">
        <v>36230.074999999997</v>
      </c>
      <c r="H5" s="114"/>
      <c r="I5" s="111">
        <v>0</v>
      </c>
      <c r="J5" s="112">
        <v>29</v>
      </c>
      <c r="K5" s="111">
        <v>175112.02916666665</v>
      </c>
      <c r="L5" s="114">
        <v>11</v>
      </c>
      <c r="M5" s="111">
        <v>66421.804166666669</v>
      </c>
      <c r="N5" s="112">
        <v>11</v>
      </c>
      <c r="O5" s="111">
        <v>66421.804166666669</v>
      </c>
      <c r="P5" s="114">
        <v>11</v>
      </c>
      <c r="Q5" s="111">
        <v>66421.804166666669</v>
      </c>
      <c r="R5" s="112">
        <v>11</v>
      </c>
      <c r="S5" s="111">
        <v>66421.804166666669</v>
      </c>
      <c r="T5" s="114">
        <v>31</v>
      </c>
      <c r="U5" s="111">
        <v>187188.72083333333</v>
      </c>
      <c r="V5" s="114">
        <v>21</v>
      </c>
      <c r="W5" s="111">
        <v>126805.26249999998</v>
      </c>
      <c r="X5" s="112">
        <v>28</v>
      </c>
      <c r="Y5" s="111">
        <v>169073.68333333332</v>
      </c>
      <c r="Z5" s="112">
        <v>28</v>
      </c>
      <c r="AA5" s="115">
        <f>$B$5*Z5</f>
        <v>179217.73333333334</v>
      </c>
    </row>
    <row r="6" spans="1:27" ht="14.5" x14ac:dyDescent="0.35">
      <c r="A6" s="116">
        <v>2</v>
      </c>
      <c r="B6" s="117">
        <f>(A6*B3)/A3</f>
        <v>7315.0095238095237</v>
      </c>
      <c r="C6" s="109"/>
      <c r="D6" s="112"/>
      <c r="E6" s="111"/>
      <c r="F6" s="112"/>
      <c r="G6" s="111"/>
      <c r="H6" s="114">
        <v>12</v>
      </c>
      <c r="I6" s="111">
        <v>82811.599999999991</v>
      </c>
      <c r="J6" s="112">
        <v>2</v>
      </c>
      <c r="K6" s="111">
        <v>13801.933333333332</v>
      </c>
      <c r="L6" s="114">
        <v>12</v>
      </c>
      <c r="M6" s="111">
        <v>82811.599999999991</v>
      </c>
      <c r="N6" s="112"/>
      <c r="O6" s="111">
        <v>0</v>
      </c>
      <c r="P6" s="114"/>
      <c r="Q6" s="111">
        <v>0</v>
      </c>
      <c r="R6" s="112"/>
      <c r="S6" s="111">
        <v>0</v>
      </c>
      <c r="T6" s="114"/>
      <c r="U6" s="111">
        <v>0</v>
      </c>
      <c r="V6" s="114"/>
      <c r="W6" s="111">
        <v>0</v>
      </c>
      <c r="X6" s="112"/>
      <c r="Y6" s="111">
        <v>0</v>
      </c>
      <c r="Z6" s="112"/>
      <c r="AA6" s="111">
        <f>$B$6*Z6</f>
        <v>0</v>
      </c>
    </row>
    <row r="7" spans="1:27" ht="14.5" x14ac:dyDescent="0.35">
      <c r="A7" s="354" t="s">
        <v>746</v>
      </c>
      <c r="B7" s="355"/>
      <c r="C7" s="109"/>
      <c r="D7" s="102">
        <v>20</v>
      </c>
      <c r="E7" s="119">
        <v>106964.98333333332</v>
      </c>
      <c r="F7" s="102">
        <v>20</v>
      </c>
      <c r="G7" s="119">
        <v>96613.533333333326</v>
      </c>
      <c r="H7" s="118">
        <v>28</v>
      </c>
      <c r="I7" s="119">
        <v>151821.26666666666</v>
      </c>
      <c r="J7" s="120">
        <v>64</v>
      </c>
      <c r="K7" s="121">
        <v>331246.39999999997</v>
      </c>
      <c r="L7" s="122">
        <v>42</v>
      </c>
      <c r="M7" s="123">
        <v>231182.3833333333</v>
      </c>
      <c r="N7" s="102">
        <v>31</v>
      </c>
      <c r="O7" s="119">
        <v>152683.88749999998</v>
      </c>
      <c r="P7" s="118">
        <v>15</v>
      </c>
      <c r="Q7" s="119">
        <v>83674.220833333326</v>
      </c>
      <c r="R7" s="120">
        <v>22</v>
      </c>
      <c r="S7" s="121">
        <v>113865.95</v>
      </c>
      <c r="T7" s="122">
        <v>61</v>
      </c>
      <c r="U7" s="123">
        <v>313476.41083333327</v>
      </c>
      <c r="V7" s="118">
        <v>58</v>
      </c>
      <c r="W7" s="119">
        <v>269569.01041666663</v>
      </c>
      <c r="X7" s="120">
        <v>70</v>
      </c>
      <c r="Y7" s="121">
        <v>350224.05833333329</v>
      </c>
      <c r="Z7" s="120">
        <f>SUM(Z4:Z6)</f>
        <v>70</v>
      </c>
      <c r="AA7" s="121">
        <f>SUM(AA4:AA6)</f>
        <v>371236.73333333334</v>
      </c>
    </row>
    <row r="8" spans="1:27" ht="14.5" x14ac:dyDescent="0.35">
      <c r="B8" s="109"/>
      <c r="C8" s="124"/>
      <c r="D8" s="109"/>
      <c r="E8" s="109"/>
      <c r="G8" s="109"/>
      <c r="H8" s="125"/>
      <c r="N8" s="109"/>
      <c r="O8" s="109"/>
      <c r="P8" s="125"/>
      <c r="V8" s="125"/>
    </row>
    <row r="9" spans="1:27" ht="14.5" x14ac:dyDescent="0.35">
      <c r="A9" s="126" t="s">
        <v>747</v>
      </c>
      <c r="B9" s="127">
        <v>877803</v>
      </c>
      <c r="C9" s="124"/>
      <c r="D9" s="128"/>
      <c r="E9" s="129">
        <v>935080.98333333328</v>
      </c>
      <c r="F9" s="130"/>
      <c r="G9" s="131">
        <v>924729.53333333333</v>
      </c>
      <c r="H9" s="132"/>
      <c r="I9" s="133">
        <v>979937.2666666666</v>
      </c>
      <c r="J9" s="134"/>
      <c r="K9" s="129">
        <v>1159362.3999999999</v>
      </c>
      <c r="L9" s="135"/>
      <c r="M9" s="136">
        <v>1059298.3833333333</v>
      </c>
      <c r="N9" s="128"/>
      <c r="O9" s="129">
        <v>980799.88749999995</v>
      </c>
      <c r="P9" s="132"/>
      <c r="Q9" s="133">
        <v>911790.22083333333</v>
      </c>
      <c r="R9" s="134"/>
      <c r="S9" s="129">
        <v>941981.95</v>
      </c>
      <c r="T9" s="135"/>
      <c r="U9" s="136">
        <v>1141592.4108333332</v>
      </c>
      <c r="V9" s="132"/>
      <c r="W9" s="133">
        <v>1097685.0104166665</v>
      </c>
      <c r="X9" s="134"/>
      <c r="Y9" s="129">
        <v>1178340.0583333333</v>
      </c>
      <c r="Z9" s="134"/>
      <c r="AA9" s="129">
        <f>$B$9+AA7</f>
        <v>1249039.7333333334</v>
      </c>
    </row>
    <row r="10" spans="1:27" ht="14.5" x14ac:dyDescent="0.35">
      <c r="A10" s="112" t="s">
        <v>748</v>
      </c>
      <c r="B10" s="115">
        <v>102854</v>
      </c>
      <c r="C10" s="124"/>
      <c r="D10" s="124"/>
      <c r="E10" s="124"/>
      <c r="H10" s="125"/>
      <c r="N10" s="124"/>
      <c r="O10" s="124"/>
      <c r="P10" s="125"/>
      <c r="V10" s="125"/>
    </row>
    <row r="11" spans="1:27" ht="14.5" x14ac:dyDescent="0.35">
      <c r="A11" s="112" t="s">
        <v>13</v>
      </c>
      <c r="B11" s="115">
        <f>B9+B10</f>
        <v>980657</v>
      </c>
      <c r="C11" s="109"/>
      <c r="D11" s="124"/>
      <c r="E11" s="124"/>
      <c r="H11" s="125"/>
      <c r="N11" s="124"/>
      <c r="O11" s="124"/>
      <c r="P11" s="125"/>
      <c r="V11" s="125"/>
    </row>
    <row r="12" spans="1:27" ht="14.5" x14ac:dyDescent="0.35">
      <c r="A12" s="137" t="s">
        <v>749</v>
      </c>
      <c r="B12" s="138">
        <f>B3*8</f>
        <v>29260.038095238095</v>
      </c>
      <c r="D12" s="109"/>
      <c r="E12" s="109"/>
      <c r="H12" s="125"/>
      <c r="N12" s="109"/>
      <c r="O12" s="109"/>
      <c r="P12" s="125"/>
      <c r="V12" s="125"/>
    </row>
    <row r="13" spans="1:27" ht="14.5" x14ac:dyDescent="0.35">
      <c r="A13" s="351"/>
      <c r="B13" s="305"/>
      <c r="C13" s="124"/>
      <c r="D13" s="139" t="s">
        <v>750</v>
      </c>
      <c r="E13" s="140"/>
      <c r="F13" s="140"/>
      <c r="G13" s="140"/>
      <c r="H13" s="140"/>
      <c r="I13" s="140"/>
      <c r="J13" s="140"/>
      <c r="K13" s="140"/>
      <c r="L13" s="140"/>
      <c r="M13" s="141"/>
      <c r="N13" s="139"/>
      <c r="O13" s="140"/>
      <c r="P13" s="140"/>
      <c r="Q13" s="140"/>
      <c r="R13" s="140"/>
      <c r="S13" s="140"/>
      <c r="T13" s="140"/>
      <c r="U13" s="141"/>
      <c r="V13" s="140"/>
      <c r="W13" s="140"/>
      <c r="X13" s="140"/>
      <c r="Y13" s="140"/>
      <c r="Z13" s="140"/>
      <c r="AA13" s="140"/>
    </row>
    <row r="14" spans="1:27" ht="14.5" x14ac:dyDescent="0.35">
      <c r="B14" s="124"/>
      <c r="D14" s="142"/>
      <c r="E14" s="143">
        <f>$B$11+E7</f>
        <v>1087621.9833333334</v>
      </c>
      <c r="F14" s="144"/>
      <c r="G14" s="145">
        <f>$B$11+G7</f>
        <v>1077270.5333333332</v>
      </c>
      <c r="H14" s="146"/>
      <c r="I14" s="147">
        <f>$B$11+I7</f>
        <v>1132478.2666666666</v>
      </c>
      <c r="J14" s="134"/>
      <c r="K14" s="121">
        <f>B11+K7</f>
        <v>1311903.3999999999</v>
      </c>
      <c r="L14" s="135"/>
      <c r="M14" s="123">
        <f>B11+M7</f>
        <v>1211839.3833333333</v>
      </c>
      <c r="N14" s="142"/>
      <c r="O14" s="143">
        <f>$B$11+O7</f>
        <v>1133340.8875</v>
      </c>
      <c r="P14" s="146"/>
      <c r="Q14" s="147">
        <f>$B$11+Q7</f>
        <v>1064331.2208333332</v>
      </c>
      <c r="R14" s="134"/>
      <c r="S14" s="121">
        <f>B11+S7</f>
        <v>1094522.95</v>
      </c>
      <c r="T14" s="135"/>
      <c r="U14" s="123">
        <f>$B$11+U7</f>
        <v>1294133.4108333332</v>
      </c>
      <c r="V14" s="146"/>
      <c r="W14" s="147">
        <f>$B$11+W7</f>
        <v>1250226.0104166665</v>
      </c>
      <c r="X14" s="134"/>
      <c r="Y14" s="121">
        <f>B11+Y7</f>
        <v>1330881.0583333333</v>
      </c>
      <c r="Z14" s="134"/>
      <c r="AA14" s="121">
        <f>B11+AA7</f>
        <v>1351893.7333333334</v>
      </c>
    </row>
    <row r="15" spans="1:27" ht="14.5" x14ac:dyDescent="0.35">
      <c r="D15" s="139" t="s">
        <v>751</v>
      </c>
      <c r="E15" s="140"/>
      <c r="F15" s="140"/>
      <c r="G15" s="140"/>
      <c r="H15" s="140"/>
      <c r="I15" s="140"/>
      <c r="J15" s="140"/>
      <c r="K15" s="140"/>
      <c r="L15" s="140"/>
      <c r="M15" s="141"/>
      <c r="N15" s="139"/>
      <c r="O15" s="140"/>
      <c r="P15" s="140"/>
      <c r="Q15" s="140"/>
      <c r="R15" s="140"/>
      <c r="S15" s="140"/>
      <c r="T15" s="140"/>
      <c r="U15" s="141"/>
      <c r="V15" s="140"/>
      <c r="W15" s="140"/>
      <c r="X15" s="140"/>
      <c r="Y15" s="140"/>
      <c r="Z15" s="140"/>
      <c r="AA15" s="140" t="s">
        <v>752</v>
      </c>
    </row>
    <row r="16" spans="1:27" ht="14.5" x14ac:dyDescent="0.35">
      <c r="D16" s="142"/>
      <c r="E16" s="143">
        <f>E9*0.08</f>
        <v>74806.478666666662</v>
      </c>
      <c r="F16" s="144"/>
      <c r="G16" s="145">
        <f>G9*0.08</f>
        <v>73978.362666666668</v>
      </c>
      <c r="H16" s="148"/>
      <c r="I16" s="149">
        <f>I9*0.089</f>
        <v>87214.416733333317</v>
      </c>
      <c r="J16" s="134"/>
      <c r="K16" s="121">
        <f>K9*0.089</f>
        <v>103183.25359999998</v>
      </c>
      <c r="L16" s="135"/>
      <c r="M16" s="123">
        <f>M9*0.089</f>
        <v>94277.556116666659</v>
      </c>
      <c r="N16" s="142"/>
      <c r="O16" s="143">
        <f>O9*0.089</f>
        <v>87291.189987499994</v>
      </c>
      <c r="P16" s="148"/>
      <c r="Q16" s="149">
        <f>Q9*0.089</f>
        <v>81149.329654166664</v>
      </c>
      <c r="R16" s="134"/>
      <c r="S16" s="121">
        <f>S9*0.089</f>
        <v>83836.393549999993</v>
      </c>
      <c r="T16" s="135"/>
      <c r="U16" s="123">
        <f>U9*0.08</f>
        <v>91327.392866666647</v>
      </c>
      <c r="V16" s="148"/>
      <c r="W16" s="149">
        <f>W9*0.08</f>
        <v>87814.800833333327</v>
      </c>
      <c r="X16" s="134"/>
      <c r="Y16" s="121">
        <f>Y9*0.08</f>
        <v>94267.204666666672</v>
      </c>
      <c r="Z16" s="134"/>
      <c r="AA16" s="121">
        <f>AA9*0.08</f>
        <v>99923.178666666674</v>
      </c>
    </row>
    <row r="17" spans="4:27" ht="14.5" x14ac:dyDescent="0.35">
      <c r="D17" s="139" t="s">
        <v>753</v>
      </c>
      <c r="E17" s="140"/>
      <c r="F17" s="140"/>
      <c r="G17" s="140"/>
      <c r="H17" s="140"/>
      <c r="I17" s="140"/>
      <c r="J17" s="140"/>
      <c r="K17" s="140"/>
      <c r="L17" s="140"/>
      <c r="M17" s="141"/>
      <c r="N17" s="139"/>
      <c r="O17" s="140"/>
      <c r="P17" s="140"/>
      <c r="Q17" s="140"/>
      <c r="R17" s="140"/>
      <c r="S17" s="140"/>
      <c r="T17" s="140"/>
      <c r="U17" s="141"/>
      <c r="V17" s="140"/>
      <c r="W17" s="140"/>
      <c r="X17" s="140"/>
      <c r="Y17" s="140"/>
      <c r="Z17" s="140"/>
      <c r="AA17" s="140"/>
    </row>
    <row r="18" spans="4:27" ht="14.5" x14ac:dyDescent="0.35">
      <c r="D18" s="150"/>
      <c r="E18" s="151">
        <f>E14-E16</f>
        <v>1012815.5046666667</v>
      </c>
      <c r="F18" s="152"/>
      <c r="G18" s="153">
        <f>G14-G16</f>
        <v>1003292.1706666666</v>
      </c>
      <c r="H18" s="154"/>
      <c r="I18" s="155">
        <f>I14-I16</f>
        <v>1045263.8499333332</v>
      </c>
      <c r="J18" s="134"/>
      <c r="K18" s="121">
        <f>K14-K16</f>
        <v>1208720.1464</v>
      </c>
      <c r="L18" s="135"/>
      <c r="M18" s="123">
        <f>M14-M16</f>
        <v>1117561.8272166667</v>
      </c>
      <c r="N18" s="150"/>
      <c r="O18" s="151">
        <f>O14-O16</f>
        <v>1046049.6975125</v>
      </c>
      <c r="P18" s="154"/>
      <c r="Q18" s="155">
        <f>Q14-Q16</f>
        <v>983181.8911791665</v>
      </c>
      <c r="R18" s="134"/>
      <c r="S18" s="121">
        <f>S14-S16</f>
        <v>1010686.5564499999</v>
      </c>
      <c r="T18" s="135"/>
      <c r="U18" s="136">
        <f>U14-U16</f>
        <v>1202806.0179666665</v>
      </c>
      <c r="V18" s="154"/>
      <c r="W18" s="155">
        <f>W14-W16</f>
        <v>1162411.2095833332</v>
      </c>
      <c r="X18" s="134"/>
      <c r="Y18" s="129">
        <f>Y14-Y16</f>
        <v>1236613.8536666667</v>
      </c>
      <c r="Z18" s="134"/>
      <c r="AA18" s="129">
        <f>AA14-AA16</f>
        <v>1251970.5546666668</v>
      </c>
    </row>
    <row r="19" spans="4:27" ht="14.5" x14ac:dyDescent="0.35">
      <c r="E19" s="156" t="s">
        <v>754</v>
      </c>
      <c r="G19" s="156" t="s">
        <v>754</v>
      </c>
      <c r="I19" s="156" t="s">
        <v>754</v>
      </c>
      <c r="K19" s="156" t="s">
        <v>754</v>
      </c>
      <c r="M19" s="156" t="s">
        <v>754</v>
      </c>
      <c r="O19" s="156" t="s">
        <v>754</v>
      </c>
      <c r="Q19" s="156" t="s">
        <v>754</v>
      </c>
      <c r="S19" s="156" t="s">
        <v>754</v>
      </c>
      <c r="U19" s="156" t="s">
        <v>754</v>
      </c>
      <c r="W19" s="156" t="s">
        <v>754</v>
      </c>
      <c r="Y19" s="156" t="s">
        <v>754</v>
      </c>
      <c r="AA19" s="156" t="s">
        <v>754</v>
      </c>
    </row>
    <row r="20" spans="4:27" ht="14.5" x14ac:dyDescent="0.35">
      <c r="H20" s="125"/>
    </row>
    <row r="21" spans="4:27" ht="15.75" customHeight="1" x14ac:dyDescent="0.35">
      <c r="H21" s="125"/>
      <c r="I21" s="124"/>
    </row>
    <row r="22" spans="4:27" ht="15.75" customHeight="1" x14ac:dyDescent="0.35">
      <c r="H22" s="125"/>
    </row>
    <row r="23" spans="4:27" ht="15.75" customHeight="1" x14ac:dyDescent="0.35">
      <c r="H23" s="125"/>
    </row>
    <row r="24" spans="4:27" ht="15.75" customHeight="1" x14ac:dyDescent="0.35">
      <c r="H24" s="125"/>
      <c r="K24" s="109"/>
    </row>
    <row r="25" spans="4:27" ht="15.75" customHeight="1" x14ac:dyDescent="0.35">
      <c r="H25" s="125"/>
      <c r="K25" s="109"/>
    </row>
    <row r="26" spans="4:27" ht="15.75" customHeight="1" x14ac:dyDescent="0.35">
      <c r="H26" s="125"/>
    </row>
    <row r="27" spans="4:27" ht="15.75" customHeight="1" x14ac:dyDescent="0.35">
      <c r="H27" s="125"/>
    </row>
    <row r="28" spans="4:27" ht="15.75" customHeight="1" x14ac:dyDescent="0.35">
      <c r="H28" s="125"/>
    </row>
    <row r="29" spans="4:27" ht="15.75" customHeight="1" x14ac:dyDescent="0.35">
      <c r="H29" s="125"/>
    </row>
    <row r="30" spans="4:27" ht="15.75" customHeight="1" x14ac:dyDescent="0.35">
      <c r="H30" s="125"/>
    </row>
    <row r="31" spans="4:27" ht="15.75" customHeight="1" x14ac:dyDescent="0.35">
      <c r="H31" s="125"/>
    </row>
    <row r="32" spans="4:27" ht="15.75" customHeight="1" x14ac:dyDescent="0.35">
      <c r="H32" s="125"/>
    </row>
    <row r="33" spans="8:8" ht="15.75" customHeight="1" x14ac:dyDescent="0.35">
      <c r="H33" s="125"/>
    </row>
    <row r="34" spans="8:8" ht="15.75" customHeight="1" x14ac:dyDescent="0.35">
      <c r="H34" s="125"/>
    </row>
    <row r="35" spans="8:8" ht="15.75" customHeight="1" x14ac:dyDescent="0.35">
      <c r="H35" s="125"/>
    </row>
    <row r="36" spans="8:8" ht="15.75" customHeight="1" x14ac:dyDescent="0.35">
      <c r="H36" s="125"/>
    </row>
    <row r="37" spans="8:8" ht="15.75" customHeight="1" x14ac:dyDescent="0.35">
      <c r="H37" s="125"/>
    </row>
    <row r="38" spans="8:8" ht="15.75" customHeight="1" x14ac:dyDescent="0.35">
      <c r="H38" s="125"/>
    </row>
    <row r="39" spans="8:8" ht="15.75" customHeight="1" x14ac:dyDescent="0.35">
      <c r="H39" s="125"/>
    </row>
    <row r="40" spans="8:8" ht="15.75" customHeight="1" x14ac:dyDescent="0.35">
      <c r="H40" s="125"/>
    </row>
    <row r="41" spans="8:8" ht="15.75" customHeight="1" x14ac:dyDescent="0.35">
      <c r="H41" s="125"/>
    </row>
    <row r="42" spans="8:8" ht="15.75" customHeight="1" x14ac:dyDescent="0.35">
      <c r="H42" s="125"/>
    </row>
    <row r="43" spans="8:8" ht="15.75" customHeight="1" x14ac:dyDescent="0.35">
      <c r="H43" s="125"/>
    </row>
    <row r="44" spans="8:8" ht="15.75" customHeight="1" x14ac:dyDescent="0.35">
      <c r="H44" s="125"/>
    </row>
    <row r="45" spans="8:8" ht="15.75" customHeight="1" x14ac:dyDescent="0.35">
      <c r="H45" s="125"/>
    </row>
    <row r="46" spans="8:8" ht="15.75" customHeight="1" x14ac:dyDescent="0.35">
      <c r="H46" s="125"/>
    </row>
    <row r="47" spans="8:8" ht="15.75" customHeight="1" x14ac:dyDescent="0.35">
      <c r="H47" s="125"/>
    </row>
    <row r="48" spans="8:8" ht="15.75" customHeight="1" x14ac:dyDescent="0.35">
      <c r="H48" s="125"/>
    </row>
    <row r="49" spans="8:8" ht="15.75" customHeight="1" x14ac:dyDescent="0.35">
      <c r="H49" s="125"/>
    </row>
    <row r="50" spans="8:8" ht="15.75" customHeight="1" x14ac:dyDescent="0.35">
      <c r="H50" s="125"/>
    </row>
    <row r="51" spans="8:8" ht="15.75" customHeight="1" x14ac:dyDescent="0.35">
      <c r="H51" s="125"/>
    </row>
    <row r="52" spans="8:8" ht="15.75" customHeight="1" x14ac:dyDescent="0.35">
      <c r="H52" s="125"/>
    </row>
    <row r="53" spans="8:8" ht="15.75" customHeight="1" x14ac:dyDescent="0.35">
      <c r="H53" s="125"/>
    </row>
    <row r="54" spans="8:8" ht="15.75" customHeight="1" x14ac:dyDescent="0.35">
      <c r="H54" s="125"/>
    </row>
    <row r="55" spans="8:8" ht="15.75" customHeight="1" x14ac:dyDescent="0.35">
      <c r="H55" s="125"/>
    </row>
    <row r="56" spans="8:8" ht="15.75" customHeight="1" x14ac:dyDescent="0.35">
      <c r="H56" s="125"/>
    </row>
    <row r="57" spans="8:8" ht="15.75" customHeight="1" x14ac:dyDescent="0.35">
      <c r="H57" s="125"/>
    </row>
    <row r="58" spans="8:8" ht="15.75" customHeight="1" x14ac:dyDescent="0.35">
      <c r="H58" s="125"/>
    </row>
    <row r="59" spans="8:8" ht="15.75" customHeight="1" x14ac:dyDescent="0.35">
      <c r="H59" s="125"/>
    </row>
    <row r="60" spans="8:8" ht="15.75" customHeight="1" x14ac:dyDescent="0.35">
      <c r="H60" s="125"/>
    </row>
    <row r="61" spans="8:8" ht="15.75" customHeight="1" x14ac:dyDescent="0.35">
      <c r="H61" s="125"/>
    </row>
    <row r="62" spans="8:8" ht="15.75" customHeight="1" x14ac:dyDescent="0.35">
      <c r="H62" s="125"/>
    </row>
    <row r="63" spans="8:8" ht="15.75" customHeight="1" x14ac:dyDescent="0.35">
      <c r="H63" s="125"/>
    </row>
    <row r="64" spans="8:8" ht="15.75" customHeight="1" x14ac:dyDescent="0.35">
      <c r="H64" s="125"/>
    </row>
    <row r="65" spans="8:8" ht="15.75" customHeight="1" x14ac:dyDescent="0.35">
      <c r="H65" s="125"/>
    </row>
    <row r="66" spans="8:8" ht="15.75" customHeight="1" x14ac:dyDescent="0.35">
      <c r="H66" s="125"/>
    </row>
    <row r="67" spans="8:8" ht="15.75" customHeight="1" x14ac:dyDescent="0.35">
      <c r="H67" s="125"/>
    </row>
    <row r="68" spans="8:8" ht="15.75" customHeight="1" x14ac:dyDescent="0.35">
      <c r="H68" s="125"/>
    </row>
    <row r="69" spans="8:8" ht="15.75" customHeight="1" x14ac:dyDescent="0.35">
      <c r="H69" s="125"/>
    </row>
    <row r="70" spans="8:8" ht="15.75" customHeight="1" x14ac:dyDescent="0.35">
      <c r="H70" s="125"/>
    </row>
    <row r="71" spans="8:8" ht="15.75" customHeight="1" x14ac:dyDescent="0.35">
      <c r="H71" s="125"/>
    </row>
    <row r="72" spans="8:8" ht="15.75" customHeight="1" x14ac:dyDescent="0.35">
      <c r="H72" s="125"/>
    </row>
    <row r="73" spans="8:8" ht="15.75" customHeight="1" x14ac:dyDescent="0.35">
      <c r="H73" s="125"/>
    </row>
    <row r="74" spans="8:8" ht="15.75" customHeight="1" x14ac:dyDescent="0.35">
      <c r="H74" s="125"/>
    </row>
    <row r="75" spans="8:8" ht="15.75" customHeight="1" x14ac:dyDescent="0.35">
      <c r="H75" s="125"/>
    </row>
    <row r="76" spans="8:8" ht="15.75" customHeight="1" x14ac:dyDescent="0.35">
      <c r="H76" s="125"/>
    </row>
    <row r="77" spans="8:8" ht="15.75" customHeight="1" x14ac:dyDescent="0.35">
      <c r="H77" s="125"/>
    </row>
    <row r="78" spans="8:8" ht="15.75" customHeight="1" x14ac:dyDescent="0.35">
      <c r="H78" s="125"/>
    </row>
    <row r="79" spans="8:8" ht="15.75" customHeight="1" x14ac:dyDescent="0.35">
      <c r="H79" s="125"/>
    </row>
    <row r="80" spans="8:8" ht="15.75" customHeight="1" x14ac:dyDescent="0.35">
      <c r="H80" s="125"/>
    </row>
    <row r="81" spans="8:8" ht="15.75" customHeight="1" x14ac:dyDescent="0.35">
      <c r="H81" s="125"/>
    </row>
    <row r="82" spans="8:8" ht="15.75" customHeight="1" x14ac:dyDescent="0.35">
      <c r="H82" s="125"/>
    </row>
    <row r="83" spans="8:8" ht="15.75" customHeight="1" x14ac:dyDescent="0.35">
      <c r="H83" s="125"/>
    </row>
    <row r="84" spans="8:8" ht="15.75" customHeight="1" x14ac:dyDescent="0.35">
      <c r="H84" s="125"/>
    </row>
    <row r="85" spans="8:8" ht="15.75" customHeight="1" x14ac:dyDescent="0.35">
      <c r="H85" s="125"/>
    </row>
    <row r="86" spans="8:8" ht="15.75" customHeight="1" x14ac:dyDescent="0.35">
      <c r="H86" s="125"/>
    </row>
    <row r="87" spans="8:8" ht="15.75" customHeight="1" x14ac:dyDescent="0.35">
      <c r="H87" s="125"/>
    </row>
    <row r="88" spans="8:8" ht="15.75" customHeight="1" x14ac:dyDescent="0.35">
      <c r="H88" s="125"/>
    </row>
    <row r="89" spans="8:8" ht="15.75" customHeight="1" x14ac:dyDescent="0.35">
      <c r="H89" s="125"/>
    </row>
    <row r="90" spans="8:8" ht="15.75" customHeight="1" x14ac:dyDescent="0.35">
      <c r="H90" s="125"/>
    </row>
    <row r="91" spans="8:8" ht="15.75" customHeight="1" x14ac:dyDescent="0.35">
      <c r="H91" s="125"/>
    </row>
    <row r="92" spans="8:8" ht="15.75" customHeight="1" x14ac:dyDescent="0.35">
      <c r="H92" s="125"/>
    </row>
    <row r="93" spans="8:8" ht="15.75" customHeight="1" x14ac:dyDescent="0.35">
      <c r="H93" s="125"/>
    </row>
    <row r="94" spans="8:8" ht="15.75" customHeight="1" x14ac:dyDescent="0.35">
      <c r="H94" s="125"/>
    </row>
    <row r="95" spans="8:8" ht="15.75" customHeight="1" x14ac:dyDescent="0.35">
      <c r="H95" s="125"/>
    </row>
    <row r="96" spans="8:8" ht="15.75" customHeight="1" x14ac:dyDescent="0.35">
      <c r="H96" s="125"/>
    </row>
    <row r="97" spans="8:8" ht="15.75" customHeight="1" x14ac:dyDescent="0.35">
      <c r="H97" s="125"/>
    </row>
    <row r="98" spans="8:8" ht="15.75" customHeight="1" x14ac:dyDescent="0.35">
      <c r="H98" s="125"/>
    </row>
    <row r="99" spans="8:8" ht="15.75" customHeight="1" x14ac:dyDescent="0.35">
      <c r="H99" s="125"/>
    </row>
    <row r="100" spans="8:8" ht="15.75" customHeight="1" x14ac:dyDescent="0.35">
      <c r="H100" s="125"/>
    </row>
    <row r="101" spans="8:8" ht="15.75" customHeight="1" x14ac:dyDescent="0.35">
      <c r="H101" s="125"/>
    </row>
    <row r="102" spans="8:8" ht="15.75" customHeight="1" x14ac:dyDescent="0.35">
      <c r="H102" s="125"/>
    </row>
    <row r="103" spans="8:8" ht="15.75" customHeight="1" x14ac:dyDescent="0.35">
      <c r="H103" s="125"/>
    </row>
    <row r="104" spans="8:8" ht="15.75" customHeight="1" x14ac:dyDescent="0.35">
      <c r="H104" s="125"/>
    </row>
    <row r="105" spans="8:8" ht="15.75" customHeight="1" x14ac:dyDescent="0.35">
      <c r="H105" s="125"/>
    </row>
    <row r="106" spans="8:8" ht="15.75" customHeight="1" x14ac:dyDescent="0.35">
      <c r="H106" s="125"/>
    </row>
    <row r="107" spans="8:8" ht="15.75" customHeight="1" x14ac:dyDescent="0.35">
      <c r="H107" s="125"/>
    </row>
    <row r="108" spans="8:8" ht="15.75" customHeight="1" x14ac:dyDescent="0.35">
      <c r="H108" s="125"/>
    </row>
    <row r="109" spans="8:8" ht="15.75" customHeight="1" x14ac:dyDescent="0.35">
      <c r="H109" s="125"/>
    </row>
    <row r="110" spans="8:8" ht="15.75" customHeight="1" x14ac:dyDescent="0.35">
      <c r="H110" s="125"/>
    </row>
    <row r="111" spans="8:8" ht="15.75" customHeight="1" x14ac:dyDescent="0.35">
      <c r="H111" s="125"/>
    </row>
    <row r="112" spans="8:8" ht="15.75" customHeight="1" x14ac:dyDescent="0.35">
      <c r="H112" s="125"/>
    </row>
    <row r="113" spans="8:8" ht="15.75" customHeight="1" x14ac:dyDescent="0.35">
      <c r="H113" s="125"/>
    </row>
    <row r="114" spans="8:8" ht="15.75" customHeight="1" x14ac:dyDescent="0.35">
      <c r="H114" s="125"/>
    </row>
    <row r="115" spans="8:8" ht="15.75" customHeight="1" x14ac:dyDescent="0.35">
      <c r="H115" s="125"/>
    </row>
    <row r="116" spans="8:8" ht="15.75" customHeight="1" x14ac:dyDescent="0.35">
      <c r="H116" s="125"/>
    </row>
    <row r="117" spans="8:8" ht="15.75" customHeight="1" x14ac:dyDescent="0.35">
      <c r="H117" s="125"/>
    </row>
    <row r="118" spans="8:8" ht="15.75" customHeight="1" x14ac:dyDescent="0.35">
      <c r="H118" s="125"/>
    </row>
    <row r="119" spans="8:8" ht="15.75" customHeight="1" x14ac:dyDescent="0.35">
      <c r="H119" s="125"/>
    </row>
    <row r="120" spans="8:8" ht="15.75" customHeight="1" x14ac:dyDescent="0.35">
      <c r="H120" s="125"/>
    </row>
    <row r="121" spans="8:8" ht="15.75" customHeight="1" x14ac:dyDescent="0.35">
      <c r="H121" s="125"/>
    </row>
    <row r="122" spans="8:8" ht="15.75" customHeight="1" x14ac:dyDescent="0.35">
      <c r="H122" s="125"/>
    </row>
    <row r="123" spans="8:8" ht="15.75" customHeight="1" x14ac:dyDescent="0.35">
      <c r="H123" s="125"/>
    </row>
    <row r="124" spans="8:8" ht="15.75" customHeight="1" x14ac:dyDescent="0.35">
      <c r="H124" s="125"/>
    </row>
    <row r="125" spans="8:8" ht="15.75" customHeight="1" x14ac:dyDescent="0.35">
      <c r="H125" s="125"/>
    </row>
    <row r="126" spans="8:8" ht="15.75" customHeight="1" x14ac:dyDescent="0.35">
      <c r="H126" s="125"/>
    </row>
    <row r="127" spans="8:8" ht="15.75" customHeight="1" x14ac:dyDescent="0.35">
      <c r="H127" s="125"/>
    </row>
    <row r="128" spans="8:8" ht="15.75" customHeight="1" x14ac:dyDescent="0.35">
      <c r="H128" s="125"/>
    </row>
    <row r="129" spans="8:8" ht="15.75" customHeight="1" x14ac:dyDescent="0.35">
      <c r="H129" s="125"/>
    </row>
    <row r="130" spans="8:8" ht="15.75" customHeight="1" x14ac:dyDescent="0.35">
      <c r="H130" s="125"/>
    </row>
    <row r="131" spans="8:8" ht="15.75" customHeight="1" x14ac:dyDescent="0.35">
      <c r="H131" s="125"/>
    </row>
    <row r="132" spans="8:8" ht="15.75" customHeight="1" x14ac:dyDescent="0.35">
      <c r="H132" s="125"/>
    </row>
    <row r="133" spans="8:8" ht="15.75" customHeight="1" x14ac:dyDescent="0.35">
      <c r="H133" s="125"/>
    </row>
    <row r="134" spans="8:8" ht="15.75" customHeight="1" x14ac:dyDescent="0.35">
      <c r="H134" s="125"/>
    </row>
    <row r="135" spans="8:8" ht="15.75" customHeight="1" x14ac:dyDescent="0.35">
      <c r="H135" s="125"/>
    </row>
    <row r="136" spans="8:8" ht="15.75" customHeight="1" x14ac:dyDescent="0.35">
      <c r="H136" s="125"/>
    </row>
    <row r="137" spans="8:8" ht="15.75" customHeight="1" x14ac:dyDescent="0.35">
      <c r="H137" s="125"/>
    </row>
    <row r="138" spans="8:8" ht="15.75" customHeight="1" x14ac:dyDescent="0.35">
      <c r="H138" s="125"/>
    </row>
    <row r="139" spans="8:8" ht="15.75" customHeight="1" x14ac:dyDescent="0.35">
      <c r="H139" s="125"/>
    </row>
    <row r="140" spans="8:8" ht="15.75" customHeight="1" x14ac:dyDescent="0.35">
      <c r="H140" s="125"/>
    </row>
    <row r="141" spans="8:8" ht="15.75" customHeight="1" x14ac:dyDescent="0.35">
      <c r="H141" s="125"/>
    </row>
    <row r="142" spans="8:8" ht="15.75" customHeight="1" x14ac:dyDescent="0.35">
      <c r="H142" s="125"/>
    </row>
    <row r="143" spans="8:8" ht="15.75" customHeight="1" x14ac:dyDescent="0.35">
      <c r="H143" s="125"/>
    </row>
    <row r="144" spans="8:8" ht="15.75" customHeight="1" x14ac:dyDescent="0.35">
      <c r="H144" s="125"/>
    </row>
    <row r="145" spans="8:8" ht="15.75" customHeight="1" x14ac:dyDescent="0.35">
      <c r="H145" s="125"/>
    </row>
    <row r="146" spans="8:8" ht="15.75" customHeight="1" x14ac:dyDescent="0.35">
      <c r="H146" s="125"/>
    </row>
    <row r="147" spans="8:8" ht="15.75" customHeight="1" x14ac:dyDescent="0.35">
      <c r="H147" s="125"/>
    </row>
    <row r="148" spans="8:8" ht="15.75" customHeight="1" x14ac:dyDescent="0.35">
      <c r="H148" s="125"/>
    </row>
    <row r="149" spans="8:8" ht="15.75" customHeight="1" x14ac:dyDescent="0.35">
      <c r="H149" s="125"/>
    </row>
    <row r="150" spans="8:8" ht="15.75" customHeight="1" x14ac:dyDescent="0.35">
      <c r="H150" s="125"/>
    </row>
    <row r="151" spans="8:8" ht="15.75" customHeight="1" x14ac:dyDescent="0.35">
      <c r="H151" s="125"/>
    </row>
    <row r="152" spans="8:8" ht="15.75" customHeight="1" x14ac:dyDescent="0.35">
      <c r="H152" s="125"/>
    </row>
    <row r="153" spans="8:8" ht="15.75" customHeight="1" x14ac:dyDescent="0.35">
      <c r="H153" s="125"/>
    </row>
    <row r="154" spans="8:8" ht="15.75" customHeight="1" x14ac:dyDescent="0.35">
      <c r="H154" s="125"/>
    </row>
    <row r="155" spans="8:8" ht="15.75" customHeight="1" x14ac:dyDescent="0.35">
      <c r="H155" s="125"/>
    </row>
    <row r="156" spans="8:8" ht="15.75" customHeight="1" x14ac:dyDescent="0.35">
      <c r="H156" s="125"/>
    </row>
    <row r="157" spans="8:8" ht="15.75" customHeight="1" x14ac:dyDescent="0.35">
      <c r="H157" s="125"/>
    </row>
    <row r="158" spans="8:8" ht="15.75" customHeight="1" x14ac:dyDescent="0.35">
      <c r="H158" s="125"/>
    </row>
    <row r="159" spans="8:8" ht="15.75" customHeight="1" x14ac:dyDescent="0.35">
      <c r="H159" s="125"/>
    </row>
    <row r="160" spans="8:8" ht="15.75" customHeight="1" x14ac:dyDescent="0.35">
      <c r="H160" s="125"/>
    </row>
    <row r="161" spans="8:8" ht="15.75" customHeight="1" x14ac:dyDescent="0.35">
      <c r="H161" s="125"/>
    </row>
    <row r="162" spans="8:8" ht="15.75" customHeight="1" x14ac:dyDescent="0.35">
      <c r="H162" s="125"/>
    </row>
    <row r="163" spans="8:8" ht="15.75" customHeight="1" x14ac:dyDescent="0.35">
      <c r="H163" s="125"/>
    </row>
    <row r="164" spans="8:8" ht="15.75" customHeight="1" x14ac:dyDescent="0.35">
      <c r="H164" s="125"/>
    </row>
    <row r="165" spans="8:8" ht="15.75" customHeight="1" x14ac:dyDescent="0.35">
      <c r="H165" s="125"/>
    </row>
    <row r="166" spans="8:8" ht="15.75" customHeight="1" x14ac:dyDescent="0.35">
      <c r="H166" s="125"/>
    </row>
    <row r="167" spans="8:8" ht="15.75" customHeight="1" x14ac:dyDescent="0.35">
      <c r="H167" s="125"/>
    </row>
    <row r="168" spans="8:8" ht="15.75" customHeight="1" x14ac:dyDescent="0.35">
      <c r="H168" s="125"/>
    </row>
    <row r="169" spans="8:8" ht="15.75" customHeight="1" x14ac:dyDescent="0.35">
      <c r="H169" s="125"/>
    </row>
    <row r="170" spans="8:8" ht="15.75" customHeight="1" x14ac:dyDescent="0.35">
      <c r="H170" s="125"/>
    </row>
    <row r="171" spans="8:8" ht="15.75" customHeight="1" x14ac:dyDescent="0.35">
      <c r="H171" s="125"/>
    </row>
    <row r="172" spans="8:8" ht="15.75" customHeight="1" x14ac:dyDescent="0.35">
      <c r="H172" s="125"/>
    </row>
    <row r="173" spans="8:8" ht="15.75" customHeight="1" x14ac:dyDescent="0.35">
      <c r="H173" s="125"/>
    </row>
    <row r="174" spans="8:8" ht="15.75" customHeight="1" x14ac:dyDescent="0.35">
      <c r="H174" s="125"/>
    </row>
    <row r="175" spans="8:8" ht="15.75" customHeight="1" x14ac:dyDescent="0.35">
      <c r="H175" s="125"/>
    </row>
    <row r="176" spans="8:8" ht="15.75" customHeight="1" x14ac:dyDescent="0.35">
      <c r="H176" s="125"/>
    </row>
    <row r="177" spans="8:8" ht="15.75" customHeight="1" x14ac:dyDescent="0.35">
      <c r="H177" s="125"/>
    </row>
    <row r="178" spans="8:8" ht="15.75" customHeight="1" x14ac:dyDescent="0.35">
      <c r="H178" s="125"/>
    </row>
    <row r="179" spans="8:8" ht="15.75" customHeight="1" x14ac:dyDescent="0.35">
      <c r="H179" s="125"/>
    </row>
    <row r="180" spans="8:8" ht="15.75" customHeight="1" x14ac:dyDescent="0.35">
      <c r="H180" s="125"/>
    </row>
    <row r="181" spans="8:8" ht="15.75" customHeight="1" x14ac:dyDescent="0.35">
      <c r="H181" s="125"/>
    </row>
    <row r="182" spans="8:8" ht="15.75" customHeight="1" x14ac:dyDescent="0.35">
      <c r="H182" s="125"/>
    </row>
    <row r="183" spans="8:8" ht="15.75" customHeight="1" x14ac:dyDescent="0.35">
      <c r="H183" s="125"/>
    </row>
    <row r="184" spans="8:8" ht="15.75" customHeight="1" x14ac:dyDescent="0.35">
      <c r="H184" s="125"/>
    </row>
    <row r="185" spans="8:8" ht="15.75" customHeight="1" x14ac:dyDescent="0.35">
      <c r="H185" s="125"/>
    </row>
    <row r="186" spans="8:8" ht="15.75" customHeight="1" x14ac:dyDescent="0.35">
      <c r="H186" s="125"/>
    </row>
    <row r="187" spans="8:8" ht="15.75" customHeight="1" x14ac:dyDescent="0.35">
      <c r="H187" s="125"/>
    </row>
    <row r="188" spans="8:8" ht="15.75" customHeight="1" x14ac:dyDescent="0.35">
      <c r="H188" s="125"/>
    </row>
    <row r="189" spans="8:8" ht="15.75" customHeight="1" x14ac:dyDescent="0.35">
      <c r="H189" s="125"/>
    </row>
    <row r="190" spans="8:8" ht="15.75" customHeight="1" x14ac:dyDescent="0.35">
      <c r="H190" s="125"/>
    </row>
    <row r="191" spans="8:8" ht="15.75" customHeight="1" x14ac:dyDescent="0.35">
      <c r="H191" s="125"/>
    </row>
    <row r="192" spans="8:8" ht="15.75" customHeight="1" x14ac:dyDescent="0.35">
      <c r="H192" s="125"/>
    </row>
    <row r="193" spans="8:8" ht="15.75" customHeight="1" x14ac:dyDescent="0.35">
      <c r="H193" s="125"/>
    </row>
    <row r="194" spans="8:8" ht="15.75" customHeight="1" x14ac:dyDescent="0.35">
      <c r="H194" s="125"/>
    </row>
    <row r="195" spans="8:8" ht="15.75" customHeight="1" x14ac:dyDescent="0.35">
      <c r="H195" s="125"/>
    </row>
    <row r="196" spans="8:8" ht="15.75" customHeight="1" x14ac:dyDescent="0.35">
      <c r="H196" s="125"/>
    </row>
    <row r="197" spans="8:8" ht="15.75" customHeight="1" x14ac:dyDescent="0.35">
      <c r="H197" s="125"/>
    </row>
    <row r="198" spans="8:8" ht="15.75" customHeight="1" x14ac:dyDescent="0.35">
      <c r="H198" s="125"/>
    </row>
    <row r="199" spans="8:8" ht="15.75" customHeight="1" x14ac:dyDescent="0.35">
      <c r="H199" s="125"/>
    </row>
    <row r="200" spans="8:8" ht="15.75" customHeight="1" x14ac:dyDescent="0.35">
      <c r="H200" s="125"/>
    </row>
    <row r="201" spans="8:8" ht="15.75" customHeight="1" x14ac:dyDescent="0.35">
      <c r="H201" s="125"/>
    </row>
    <row r="202" spans="8:8" ht="15.75" customHeight="1" x14ac:dyDescent="0.35">
      <c r="H202" s="125"/>
    </row>
    <row r="203" spans="8:8" ht="15.75" customHeight="1" x14ac:dyDescent="0.35">
      <c r="H203" s="125"/>
    </row>
    <row r="204" spans="8:8" ht="15.75" customHeight="1" x14ac:dyDescent="0.35">
      <c r="H204" s="125"/>
    </row>
    <row r="205" spans="8:8" ht="15.75" customHeight="1" x14ac:dyDescent="0.35">
      <c r="H205" s="125"/>
    </row>
    <row r="206" spans="8:8" ht="15.75" customHeight="1" x14ac:dyDescent="0.35">
      <c r="H206" s="125"/>
    </row>
    <row r="207" spans="8:8" ht="15.75" customHeight="1" x14ac:dyDescent="0.35">
      <c r="H207" s="125"/>
    </row>
    <row r="208" spans="8:8" ht="15.75" customHeight="1" x14ac:dyDescent="0.35">
      <c r="H208" s="125"/>
    </row>
    <row r="209" spans="8:8" ht="15.75" customHeight="1" x14ac:dyDescent="0.35">
      <c r="H209" s="125"/>
    </row>
    <row r="210" spans="8:8" ht="15.75" customHeight="1" x14ac:dyDescent="0.35">
      <c r="H210" s="125"/>
    </row>
    <row r="211" spans="8:8" ht="15.75" customHeight="1" x14ac:dyDescent="0.35">
      <c r="H211" s="125"/>
    </row>
    <row r="212" spans="8:8" ht="15.75" customHeight="1" x14ac:dyDescent="0.35">
      <c r="H212" s="125"/>
    </row>
    <row r="213" spans="8:8" ht="15.75" customHeight="1" x14ac:dyDescent="0.35">
      <c r="H213" s="125"/>
    </row>
    <row r="214" spans="8:8" ht="15.75" customHeight="1" x14ac:dyDescent="0.35">
      <c r="H214" s="125"/>
    </row>
    <row r="215" spans="8:8" ht="15.75" customHeight="1" x14ac:dyDescent="0.35">
      <c r="H215" s="125"/>
    </row>
    <row r="216" spans="8:8" ht="15.75" customHeight="1" x14ac:dyDescent="0.35">
      <c r="H216" s="125"/>
    </row>
    <row r="217" spans="8:8" ht="15.75" customHeight="1" x14ac:dyDescent="0.35">
      <c r="H217" s="125"/>
    </row>
    <row r="218" spans="8:8" ht="15.75" customHeight="1" x14ac:dyDescent="0.35">
      <c r="H218" s="125"/>
    </row>
    <row r="219" spans="8:8" ht="15.75" customHeight="1" x14ac:dyDescent="0.35">
      <c r="H219" s="125"/>
    </row>
    <row r="220" spans="8:8" ht="15.75" customHeight="1" x14ac:dyDescent="0.35">
      <c r="H220" s="125"/>
    </row>
    <row r="221" spans="8:8" ht="15.75" customHeight="1" x14ac:dyDescent="0.3"/>
    <row r="222" spans="8:8" ht="15.75" customHeight="1" x14ac:dyDescent="0.3"/>
    <row r="223" spans="8:8" ht="15.75" customHeight="1" x14ac:dyDescent="0.3"/>
    <row r="224" spans="8:8"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T2:U2"/>
    <mergeCell ref="V2:W2"/>
    <mergeCell ref="X2:Y2"/>
    <mergeCell ref="Z2:AA2"/>
    <mergeCell ref="A13:B13"/>
    <mergeCell ref="D2:E2"/>
    <mergeCell ref="F2:G2"/>
    <mergeCell ref="H2:I2"/>
    <mergeCell ref="R2:S2"/>
    <mergeCell ref="J2:K2"/>
    <mergeCell ref="L2:M2"/>
    <mergeCell ref="N2:O2"/>
    <mergeCell ref="P2:Q2"/>
    <mergeCell ref="A7:B7"/>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00"/>
  <sheetViews>
    <sheetView workbookViewId="0"/>
  </sheetViews>
  <sheetFormatPr baseColWidth="10" defaultColWidth="12.6640625" defaultRowHeight="15" customHeight="1" x14ac:dyDescent="0.3"/>
  <cols>
    <col min="1" max="1" width="13" customWidth="1"/>
    <col min="2" max="2" width="23" customWidth="1"/>
    <col min="3" max="3" width="12" customWidth="1"/>
    <col min="4" max="4" width="2.5" customWidth="1"/>
    <col min="5" max="5" width="12.5" customWidth="1"/>
    <col min="6" max="6" width="3.9140625" customWidth="1"/>
    <col min="7" max="7" width="11.4140625" customWidth="1"/>
    <col min="8" max="8" width="3.5" customWidth="1"/>
    <col min="9" max="9" width="13.4140625" customWidth="1"/>
    <col min="10" max="10" width="4.5" customWidth="1"/>
    <col min="11" max="11" width="11.4140625" customWidth="1"/>
    <col min="12" max="12" width="11" customWidth="1"/>
  </cols>
  <sheetData>
    <row r="1" spans="1:12" ht="14" x14ac:dyDescent="0.3">
      <c r="D1" s="357"/>
      <c r="E1" s="358"/>
      <c r="F1" s="358"/>
      <c r="G1" s="358"/>
      <c r="H1" s="358"/>
      <c r="I1" s="358"/>
      <c r="J1" s="358"/>
      <c r="K1" s="355"/>
    </row>
    <row r="2" spans="1:12" ht="14.5" x14ac:dyDescent="0.35">
      <c r="A2" s="105" t="s">
        <v>744</v>
      </c>
      <c r="B2" s="106" t="s">
        <v>745</v>
      </c>
      <c r="D2" s="353" t="s">
        <v>70</v>
      </c>
      <c r="E2" s="349"/>
      <c r="F2" s="348" t="s">
        <v>59</v>
      </c>
      <c r="G2" s="349"/>
      <c r="H2" s="350" t="s">
        <v>60</v>
      </c>
      <c r="I2" s="347"/>
      <c r="J2" s="346" t="s">
        <v>61</v>
      </c>
      <c r="K2" s="347"/>
    </row>
    <row r="3" spans="1:12" ht="14.5" x14ac:dyDescent="0.35">
      <c r="A3" s="107">
        <v>1</v>
      </c>
      <c r="B3" s="108">
        <f>B12/8</f>
        <v>4833.333333333333</v>
      </c>
      <c r="C3" s="109"/>
      <c r="D3" s="112"/>
      <c r="E3" s="113"/>
      <c r="F3" s="114"/>
      <c r="G3" s="113"/>
      <c r="H3" s="112"/>
      <c r="I3" s="113"/>
      <c r="J3" s="112"/>
      <c r="K3" s="113"/>
    </row>
    <row r="4" spans="1:12" ht="14.5" x14ac:dyDescent="0.35">
      <c r="A4" s="107">
        <v>1.25</v>
      </c>
      <c r="B4" s="108">
        <f>(A4*B3)/A3</f>
        <v>6041.6666666666661</v>
      </c>
      <c r="C4" s="109"/>
      <c r="D4" s="112">
        <v>10</v>
      </c>
      <c r="E4" s="111">
        <f>$B$4*D4</f>
        <v>60416.666666666657</v>
      </c>
      <c r="F4" s="114">
        <v>8</v>
      </c>
      <c r="G4" s="111">
        <f>$B$4*F4</f>
        <v>48333.333333333328</v>
      </c>
      <c r="H4" s="112">
        <v>22</v>
      </c>
      <c r="I4" s="111">
        <f>$B$4*H4</f>
        <v>132916.66666666666</v>
      </c>
      <c r="J4" s="112"/>
      <c r="K4" s="111">
        <f>$B$4*J4</f>
        <v>0</v>
      </c>
    </row>
    <row r="5" spans="1:12" ht="14.5" x14ac:dyDescent="0.35">
      <c r="A5" s="107">
        <v>1.75</v>
      </c>
      <c r="B5" s="108">
        <f>(A5*B3)/A3</f>
        <v>8458.3333333333321</v>
      </c>
      <c r="C5" s="109"/>
      <c r="D5" s="112"/>
      <c r="E5" s="111">
        <f>$B$5*D5</f>
        <v>0</v>
      </c>
      <c r="F5" s="114">
        <v>11</v>
      </c>
      <c r="G5" s="111">
        <f>$B$5*F5</f>
        <v>93041.666666666657</v>
      </c>
      <c r="H5" s="112">
        <v>11</v>
      </c>
      <c r="I5" s="111">
        <f>$B$5*H5</f>
        <v>93041.666666666657</v>
      </c>
      <c r="J5" s="112"/>
      <c r="K5" s="111">
        <f>$B$5*J5</f>
        <v>0</v>
      </c>
      <c r="L5" s="109"/>
    </row>
    <row r="6" spans="1:12" ht="14.5" x14ac:dyDescent="0.35">
      <c r="A6" s="107">
        <v>2</v>
      </c>
      <c r="B6" s="108">
        <f>(A6*B3)/A3</f>
        <v>9666.6666666666661</v>
      </c>
      <c r="C6" s="109"/>
      <c r="D6" s="112"/>
      <c r="E6" s="111">
        <f>$B$6*D6</f>
        <v>0</v>
      </c>
      <c r="F6" s="114"/>
      <c r="G6" s="111">
        <f>$B$6*F6</f>
        <v>0</v>
      </c>
      <c r="H6" s="112"/>
      <c r="I6" s="111">
        <f>$B$6*H6</f>
        <v>0</v>
      </c>
      <c r="J6" s="112"/>
      <c r="K6" s="111">
        <f>$B$6*J6</f>
        <v>0</v>
      </c>
    </row>
    <row r="7" spans="1:12" ht="14.5" x14ac:dyDescent="0.35">
      <c r="A7" s="116">
        <v>2.5</v>
      </c>
      <c r="B7" s="117">
        <f>(A7*B4)/A4</f>
        <v>12083.333333333332</v>
      </c>
      <c r="C7" s="109"/>
      <c r="D7" s="112"/>
      <c r="E7" s="111">
        <f>$B$7*D7</f>
        <v>0</v>
      </c>
      <c r="F7" s="114"/>
      <c r="G7" s="111">
        <f>$B$7*F7</f>
        <v>0</v>
      </c>
      <c r="H7" s="112"/>
      <c r="I7" s="111">
        <f>$B$7*H7</f>
        <v>0</v>
      </c>
      <c r="J7" s="112"/>
      <c r="K7" s="111">
        <f>$B$7*J7</f>
        <v>0</v>
      </c>
    </row>
    <row r="8" spans="1:12" ht="14.5" x14ac:dyDescent="0.35">
      <c r="A8" s="354" t="s">
        <v>746</v>
      </c>
      <c r="B8" s="355"/>
      <c r="C8" s="109"/>
      <c r="D8" s="102"/>
      <c r="E8" s="119">
        <f>SUM(E4:E5)</f>
        <v>60416.666666666657</v>
      </c>
      <c r="F8" s="102">
        <f>SUM(F4:F5)</f>
        <v>19</v>
      </c>
      <c r="G8" s="119">
        <f>SUM(G4:G5)</f>
        <v>141375</v>
      </c>
      <c r="H8" s="120">
        <f>SUM(H4:H6)</f>
        <v>33</v>
      </c>
      <c r="I8" s="121">
        <f>SUM(I4:I6)</f>
        <v>225958.33333333331</v>
      </c>
      <c r="J8" s="122">
        <f>SUM(J3:J7)</f>
        <v>0</v>
      </c>
      <c r="K8" s="123">
        <f>SUM(K4:K6)</f>
        <v>0</v>
      </c>
    </row>
    <row r="9" spans="1:12" ht="14.5" x14ac:dyDescent="0.35">
      <c r="A9" s="126" t="s">
        <v>755</v>
      </c>
      <c r="B9" s="127">
        <v>1160000</v>
      </c>
      <c r="C9" s="124"/>
      <c r="E9" s="109"/>
      <c r="F9" s="125"/>
    </row>
    <row r="10" spans="1:12" ht="14.5" x14ac:dyDescent="0.35">
      <c r="A10" s="112" t="s">
        <v>748</v>
      </c>
      <c r="B10" s="115">
        <v>140606</v>
      </c>
      <c r="C10" s="124"/>
      <c r="D10" s="130"/>
      <c r="E10" s="131">
        <f>$B$9+E4+E5</f>
        <v>1220416.6666666667</v>
      </c>
      <c r="F10" s="132"/>
      <c r="G10" s="133">
        <f>$B$9+G4+G5</f>
        <v>1301375</v>
      </c>
      <c r="H10" s="134"/>
      <c r="I10" s="129">
        <f>$B$9+I4+I5+I6</f>
        <v>1385958.3333333335</v>
      </c>
      <c r="J10" s="135"/>
      <c r="K10" s="136">
        <f>$B$9+K4+K5+K6+K7</f>
        <v>1160000</v>
      </c>
    </row>
    <row r="11" spans="1:12" ht="14.5" x14ac:dyDescent="0.35">
      <c r="A11" s="112" t="s">
        <v>13</v>
      </c>
      <c r="B11" s="115">
        <f>B9+B10</f>
        <v>1300606</v>
      </c>
      <c r="C11" s="124"/>
      <c r="F11" s="125"/>
    </row>
    <row r="12" spans="1:12" ht="14.5" x14ac:dyDescent="0.35">
      <c r="A12" s="137" t="s">
        <v>756</v>
      </c>
      <c r="B12" s="138">
        <f>B9/30</f>
        <v>38666.666666666664</v>
      </c>
      <c r="C12" s="109"/>
      <c r="F12" s="125"/>
    </row>
    <row r="13" spans="1:12" ht="14.5" x14ac:dyDescent="0.35">
      <c r="C13" s="157" t="s">
        <v>750</v>
      </c>
      <c r="D13" s="135"/>
      <c r="E13" s="136">
        <f>$B$11+E8</f>
        <v>1361022.6666666667</v>
      </c>
      <c r="F13" s="132"/>
      <c r="G13" s="133">
        <f>$B$11+G8</f>
        <v>1441981</v>
      </c>
      <c r="H13" s="134"/>
      <c r="I13" s="129">
        <f>$B$11+I8</f>
        <v>1526564.3333333333</v>
      </c>
      <c r="J13" s="135"/>
      <c r="K13" s="136">
        <f>$B$11+K8</f>
        <v>1300606</v>
      </c>
    </row>
    <row r="14" spans="1:12" ht="14.5" x14ac:dyDescent="0.35">
      <c r="B14" s="158"/>
      <c r="D14" s="159"/>
      <c r="E14" s="159"/>
      <c r="F14" s="159"/>
      <c r="G14" s="159"/>
      <c r="H14" s="159"/>
      <c r="I14" s="159"/>
      <c r="J14" s="159"/>
      <c r="K14" s="160"/>
    </row>
    <row r="15" spans="1:12" ht="14.5" x14ac:dyDescent="0.35">
      <c r="B15" s="109"/>
      <c r="C15" s="161" t="s">
        <v>751</v>
      </c>
      <c r="D15" s="144"/>
      <c r="E15" s="145">
        <f>E10*0.08</f>
        <v>97633.333333333343</v>
      </c>
      <c r="F15" s="148"/>
      <c r="G15" s="149">
        <f>G10*0.08</f>
        <v>104110</v>
      </c>
      <c r="H15" s="134"/>
      <c r="I15" s="162">
        <f>I10*0.08</f>
        <v>110876.66666666669</v>
      </c>
      <c r="J15" s="135"/>
      <c r="K15" s="163">
        <f>K10*0.08</f>
        <v>92800</v>
      </c>
      <c r="L15" s="124"/>
    </row>
    <row r="16" spans="1:12" ht="14.5" x14ac:dyDescent="0.35">
      <c r="D16" s="159"/>
      <c r="E16" s="159"/>
      <c r="F16" s="159"/>
      <c r="G16" s="159"/>
      <c r="H16" s="159"/>
      <c r="I16" s="159"/>
      <c r="J16" s="159"/>
      <c r="K16" s="160"/>
    </row>
    <row r="17" spans="1:11" ht="14.5" x14ac:dyDescent="0.35">
      <c r="B17" s="356" t="s">
        <v>753</v>
      </c>
      <c r="C17" s="305"/>
      <c r="D17" s="152"/>
      <c r="E17" s="153">
        <f>E13-E15</f>
        <v>1263389.3333333335</v>
      </c>
      <c r="F17" s="154"/>
      <c r="G17" s="155">
        <f>G13-G15</f>
        <v>1337871</v>
      </c>
      <c r="H17" s="134"/>
      <c r="I17" s="151">
        <f>I13-I15</f>
        <v>1415687.6666666665</v>
      </c>
      <c r="J17" s="135"/>
      <c r="K17" s="153">
        <f>K13-K15</f>
        <v>1207806</v>
      </c>
    </row>
    <row r="18" spans="1:11" ht="14.5" x14ac:dyDescent="0.35">
      <c r="D18" s="125"/>
      <c r="E18" s="164" t="s">
        <v>757</v>
      </c>
      <c r="F18" s="125"/>
      <c r="G18" s="164" t="s">
        <v>757</v>
      </c>
    </row>
    <row r="19" spans="1:11" ht="14.5" x14ac:dyDescent="0.35">
      <c r="F19" s="125"/>
    </row>
    <row r="20" spans="1:11" ht="14.5" x14ac:dyDescent="0.35">
      <c r="A20" s="158">
        <f>B9/30</f>
        <v>38666.666666666664</v>
      </c>
      <c r="F20" s="125"/>
    </row>
    <row r="21" spans="1:11" ht="15.75" customHeight="1" x14ac:dyDescent="0.35">
      <c r="A21" s="158">
        <f>A20*8</f>
        <v>309333.33333333331</v>
      </c>
      <c r="F21" s="125"/>
    </row>
    <row r="22" spans="1:11" ht="15.75" customHeight="1" x14ac:dyDescent="0.35">
      <c r="C22" s="165"/>
      <c r="F22" s="125"/>
    </row>
    <row r="23" spans="1:11" ht="15.75" customHeight="1" x14ac:dyDescent="0.35">
      <c r="C23" s="158"/>
      <c r="F23" s="125"/>
    </row>
    <row r="24" spans="1:11" ht="15.75" customHeight="1" x14ac:dyDescent="0.35">
      <c r="F24" s="125"/>
    </row>
    <row r="25" spans="1:11" ht="15.75" customHeight="1" x14ac:dyDescent="0.35">
      <c r="F25" s="125"/>
    </row>
    <row r="26" spans="1:11" ht="15.75" customHeight="1" x14ac:dyDescent="0.35">
      <c r="F26" s="125"/>
    </row>
    <row r="27" spans="1:11" ht="15.75" customHeight="1" x14ac:dyDescent="0.35">
      <c r="F27" s="125"/>
    </row>
    <row r="28" spans="1:11" ht="15.75" customHeight="1" x14ac:dyDescent="0.35">
      <c r="F28" s="125"/>
    </row>
    <row r="29" spans="1:11" ht="15.75" customHeight="1" x14ac:dyDescent="0.35">
      <c r="F29" s="125"/>
    </row>
    <row r="30" spans="1:11" ht="15.75" customHeight="1" x14ac:dyDescent="0.35">
      <c r="F30" s="125"/>
    </row>
    <row r="31" spans="1:11" ht="15.75" customHeight="1" x14ac:dyDescent="0.35">
      <c r="F31" s="125"/>
    </row>
    <row r="32" spans="1:11" ht="15.75" customHeight="1" x14ac:dyDescent="0.35">
      <c r="F32" s="125"/>
    </row>
    <row r="33" spans="6:6" ht="15.75" customHeight="1" x14ac:dyDescent="0.35">
      <c r="F33" s="125"/>
    </row>
    <row r="34" spans="6:6" ht="15.75" customHeight="1" x14ac:dyDescent="0.35">
      <c r="F34" s="125"/>
    </row>
    <row r="35" spans="6:6" ht="15.75" customHeight="1" x14ac:dyDescent="0.35">
      <c r="F35" s="125"/>
    </row>
    <row r="36" spans="6:6" ht="15.75" customHeight="1" x14ac:dyDescent="0.35">
      <c r="F36" s="125"/>
    </row>
    <row r="37" spans="6:6" ht="15.75" customHeight="1" x14ac:dyDescent="0.35">
      <c r="F37" s="125"/>
    </row>
    <row r="38" spans="6:6" ht="15.75" customHeight="1" x14ac:dyDescent="0.35">
      <c r="F38" s="125"/>
    </row>
    <row r="39" spans="6:6" ht="15.75" customHeight="1" x14ac:dyDescent="0.35">
      <c r="F39" s="125"/>
    </row>
    <row r="40" spans="6:6" ht="15.75" customHeight="1" x14ac:dyDescent="0.35">
      <c r="F40" s="125"/>
    </row>
    <row r="41" spans="6:6" ht="15.75" customHeight="1" x14ac:dyDescent="0.35">
      <c r="F41" s="125"/>
    </row>
    <row r="42" spans="6:6" ht="15.75" customHeight="1" x14ac:dyDescent="0.35">
      <c r="F42" s="125"/>
    </row>
    <row r="43" spans="6:6" ht="15.75" customHeight="1" x14ac:dyDescent="0.35">
      <c r="F43" s="125"/>
    </row>
    <row r="44" spans="6:6" ht="15.75" customHeight="1" x14ac:dyDescent="0.35">
      <c r="F44" s="125"/>
    </row>
    <row r="45" spans="6:6" ht="15.75" customHeight="1" x14ac:dyDescent="0.35">
      <c r="F45" s="125"/>
    </row>
    <row r="46" spans="6:6" ht="15.75" customHeight="1" x14ac:dyDescent="0.35">
      <c r="F46" s="125"/>
    </row>
    <row r="47" spans="6:6" ht="15.75" customHeight="1" x14ac:dyDescent="0.35">
      <c r="F47" s="125"/>
    </row>
    <row r="48" spans="6:6" ht="15.75" customHeight="1" x14ac:dyDescent="0.35">
      <c r="F48" s="125"/>
    </row>
    <row r="49" spans="6:6" ht="15.75" customHeight="1" x14ac:dyDescent="0.35">
      <c r="F49" s="125"/>
    </row>
    <row r="50" spans="6:6" ht="15.75" customHeight="1" x14ac:dyDescent="0.35">
      <c r="F50" s="125"/>
    </row>
    <row r="51" spans="6:6" ht="15.75" customHeight="1" x14ac:dyDescent="0.35">
      <c r="F51" s="125"/>
    </row>
    <row r="52" spans="6:6" ht="15.75" customHeight="1" x14ac:dyDescent="0.35">
      <c r="F52" s="125"/>
    </row>
    <row r="53" spans="6:6" ht="15.75" customHeight="1" x14ac:dyDescent="0.35">
      <c r="F53" s="125"/>
    </row>
    <row r="54" spans="6:6" ht="15.75" customHeight="1" x14ac:dyDescent="0.35">
      <c r="F54" s="125"/>
    </row>
    <row r="55" spans="6:6" ht="15.75" customHeight="1" x14ac:dyDescent="0.35">
      <c r="F55" s="125"/>
    </row>
    <row r="56" spans="6:6" ht="15.75" customHeight="1" x14ac:dyDescent="0.35">
      <c r="F56" s="125"/>
    </row>
    <row r="57" spans="6:6" ht="15.75" customHeight="1" x14ac:dyDescent="0.35">
      <c r="F57" s="125"/>
    </row>
    <row r="58" spans="6:6" ht="15.75" customHeight="1" x14ac:dyDescent="0.35">
      <c r="F58" s="125"/>
    </row>
    <row r="59" spans="6:6" ht="15.75" customHeight="1" x14ac:dyDescent="0.35">
      <c r="F59" s="125"/>
    </row>
    <row r="60" spans="6:6" ht="15.75" customHeight="1" x14ac:dyDescent="0.35">
      <c r="F60" s="125"/>
    </row>
    <row r="61" spans="6:6" ht="15.75" customHeight="1" x14ac:dyDescent="0.35">
      <c r="F61" s="125"/>
    </row>
    <row r="62" spans="6:6" ht="15.75" customHeight="1" x14ac:dyDescent="0.35">
      <c r="F62" s="125"/>
    </row>
    <row r="63" spans="6:6" ht="15.75" customHeight="1" x14ac:dyDescent="0.35">
      <c r="F63" s="125"/>
    </row>
    <row r="64" spans="6:6" ht="15.75" customHeight="1" x14ac:dyDescent="0.35">
      <c r="F64" s="125"/>
    </row>
    <row r="65" spans="6:6" ht="15.75" customHeight="1" x14ac:dyDescent="0.35">
      <c r="F65" s="125"/>
    </row>
    <row r="66" spans="6:6" ht="15.75" customHeight="1" x14ac:dyDescent="0.35">
      <c r="F66" s="125"/>
    </row>
    <row r="67" spans="6:6" ht="15.75" customHeight="1" x14ac:dyDescent="0.35">
      <c r="F67" s="125"/>
    </row>
    <row r="68" spans="6:6" ht="15.75" customHeight="1" x14ac:dyDescent="0.35">
      <c r="F68" s="125"/>
    </row>
    <row r="69" spans="6:6" ht="15.75" customHeight="1" x14ac:dyDescent="0.35">
      <c r="F69" s="125"/>
    </row>
    <row r="70" spans="6:6" ht="15.75" customHeight="1" x14ac:dyDescent="0.35">
      <c r="F70" s="125"/>
    </row>
    <row r="71" spans="6:6" ht="15.75" customHeight="1" x14ac:dyDescent="0.35">
      <c r="F71" s="125"/>
    </row>
    <row r="72" spans="6:6" ht="15.75" customHeight="1" x14ac:dyDescent="0.35">
      <c r="F72" s="125"/>
    </row>
    <row r="73" spans="6:6" ht="15.75" customHeight="1" x14ac:dyDescent="0.35">
      <c r="F73" s="125"/>
    </row>
    <row r="74" spans="6:6" ht="15.75" customHeight="1" x14ac:dyDescent="0.35">
      <c r="F74" s="125"/>
    </row>
    <row r="75" spans="6:6" ht="15.75" customHeight="1" x14ac:dyDescent="0.35">
      <c r="F75" s="125"/>
    </row>
    <row r="76" spans="6:6" ht="15.75" customHeight="1" x14ac:dyDescent="0.35">
      <c r="F76" s="125"/>
    </row>
    <row r="77" spans="6:6" ht="15.75" customHeight="1" x14ac:dyDescent="0.35">
      <c r="F77" s="125"/>
    </row>
    <row r="78" spans="6:6" ht="15.75" customHeight="1" x14ac:dyDescent="0.35">
      <c r="F78" s="125"/>
    </row>
    <row r="79" spans="6:6" ht="15.75" customHeight="1" x14ac:dyDescent="0.35">
      <c r="F79" s="125"/>
    </row>
    <row r="80" spans="6:6" ht="15.75" customHeight="1" x14ac:dyDescent="0.35">
      <c r="F80" s="125"/>
    </row>
    <row r="81" spans="6:6" ht="15.75" customHeight="1" x14ac:dyDescent="0.35">
      <c r="F81" s="125"/>
    </row>
    <row r="82" spans="6:6" ht="15.75" customHeight="1" x14ac:dyDescent="0.35">
      <c r="F82" s="125"/>
    </row>
    <row r="83" spans="6:6" ht="15.75" customHeight="1" x14ac:dyDescent="0.35">
      <c r="F83" s="125"/>
    </row>
    <row r="84" spans="6:6" ht="15.75" customHeight="1" x14ac:dyDescent="0.35">
      <c r="F84" s="125"/>
    </row>
    <row r="85" spans="6:6" ht="15.75" customHeight="1" x14ac:dyDescent="0.35">
      <c r="F85" s="125"/>
    </row>
    <row r="86" spans="6:6" ht="15.75" customHeight="1" x14ac:dyDescent="0.35">
      <c r="F86" s="125"/>
    </row>
    <row r="87" spans="6:6" ht="15.75" customHeight="1" x14ac:dyDescent="0.35">
      <c r="F87" s="125"/>
    </row>
    <row r="88" spans="6:6" ht="15.75" customHeight="1" x14ac:dyDescent="0.35">
      <c r="F88" s="125"/>
    </row>
    <row r="89" spans="6:6" ht="15.75" customHeight="1" x14ac:dyDescent="0.35">
      <c r="F89" s="125"/>
    </row>
    <row r="90" spans="6:6" ht="15.75" customHeight="1" x14ac:dyDescent="0.35">
      <c r="F90" s="125"/>
    </row>
    <row r="91" spans="6:6" ht="15.75" customHeight="1" x14ac:dyDescent="0.35">
      <c r="F91" s="125"/>
    </row>
    <row r="92" spans="6:6" ht="15.75" customHeight="1" x14ac:dyDescent="0.35">
      <c r="F92" s="125"/>
    </row>
    <row r="93" spans="6:6" ht="15.75" customHeight="1" x14ac:dyDescent="0.35">
      <c r="F93" s="125"/>
    </row>
    <row r="94" spans="6:6" ht="15.75" customHeight="1" x14ac:dyDescent="0.35">
      <c r="F94" s="125"/>
    </row>
    <row r="95" spans="6:6" ht="15.75" customHeight="1" x14ac:dyDescent="0.35">
      <c r="F95" s="125"/>
    </row>
    <row r="96" spans="6:6" ht="15.75" customHeight="1" x14ac:dyDescent="0.35">
      <c r="F96" s="125"/>
    </row>
    <row r="97" spans="6:6" ht="15.75" customHeight="1" x14ac:dyDescent="0.35">
      <c r="F97" s="125"/>
    </row>
    <row r="98" spans="6:6" ht="15.75" customHeight="1" x14ac:dyDescent="0.35">
      <c r="F98" s="125"/>
    </row>
    <row r="99" spans="6:6" ht="15.75" customHeight="1" x14ac:dyDescent="0.35">
      <c r="F99" s="125"/>
    </row>
    <row r="100" spans="6:6" ht="15.75" customHeight="1" x14ac:dyDescent="0.35">
      <c r="F100" s="125"/>
    </row>
    <row r="101" spans="6:6" ht="15.75" customHeight="1" x14ac:dyDescent="0.35">
      <c r="F101" s="125"/>
    </row>
    <row r="102" spans="6:6" ht="15.75" customHeight="1" x14ac:dyDescent="0.35">
      <c r="F102" s="125"/>
    </row>
    <row r="103" spans="6:6" ht="15.75" customHeight="1" x14ac:dyDescent="0.35">
      <c r="F103" s="125"/>
    </row>
    <row r="104" spans="6:6" ht="15.75" customHeight="1" x14ac:dyDescent="0.35">
      <c r="F104" s="125"/>
    </row>
    <row r="105" spans="6:6" ht="15.75" customHeight="1" x14ac:dyDescent="0.35">
      <c r="F105" s="125"/>
    </row>
    <row r="106" spans="6:6" ht="15.75" customHeight="1" x14ac:dyDescent="0.35">
      <c r="F106" s="125"/>
    </row>
    <row r="107" spans="6:6" ht="15.75" customHeight="1" x14ac:dyDescent="0.35">
      <c r="F107" s="125"/>
    </row>
    <row r="108" spans="6:6" ht="15.75" customHeight="1" x14ac:dyDescent="0.35">
      <c r="F108" s="125"/>
    </row>
    <row r="109" spans="6:6" ht="15.75" customHeight="1" x14ac:dyDescent="0.35">
      <c r="F109" s="125"/>
    </row>
    <row r="110" spans="6:6" ht="15.75" customHeight="1" x14ac:dyDescent="0.35">
      <c r="F110" s="125"/>
    </row>
    <row r="111" spans="6:6" ht="15.75" customHeight="1" x14ac:dyDescent="0.35">
      <c r="F111" s="125"/>
    </row>
    <row r="112" spans="6:6" ht="15.75" customHeight="1" x14ac:dyDescent="0.35">
      <c r="F112" s="125"/>
    </row>
    <row r="113" spans="6:6" ht="15.75" customHeight="1" x14ac:dyDescent="0.35">
      <c r="F113" s="125"/>
    </row>
    <row r="114" spans="6:6" ht="15.75" customHeight="1" x14ac:dyDescent="0.35">
      <c r="F114" s="125"/>
    </row>
    <row r="115" spans="6:6" ht="15.75" customHeight="1" x14ac:dyDescent="0.35">
      <c r="F115" s="125"/>
    </row>
    <row r="116" spans="6:6" ht="15.75" customHeight="1" x14ac:dyDescent="0.35">
      <c r="F116" s="125"/>
    </row>
    <row r="117" spans="6:6" ht="15.75" customHeight="1" x14ac:dyDescent="0.35">
      <c r="F117" s="125"/>
    </row>
    <row r="118" spans="6:6" ht="15.75" customHeight="1" x14ac:dyDescent="0.35">
      <c r="F118" s="125"/>
    </row>
    <row r="119" spans="6:6" ht="15.75" customHeight="1" x14ac:dyDescent="0.35">
      <c r="F119" s="125"/>
    </row>
    <row r="120" spans="6:6" ht="15.75" customHeight="1" x14ac:dyDescent="0.35">
      <c r="F120" s="125"/>
    </row>
    <row r="121" spans="6:6" ht="15.75" customHeight="1" x14ac:dyDescent="0.35">
      <c r="F121" s="125"/>
    </row>
    <row r="122" spans="6:6" ht="15.75" customHeight="1" x14ac:dyDescent="0.35">
      <c r="F122" s="125"/>
    </row>
    <row r="123" spans="6:6" ht="15.75" customHeight="1" x14ac:dyDescent="0.35">
      <c r="F123" s="125"/>
    </row>
    <row r="124" spans="6:6" ht="15.75" customHeight="1" x14ac:dyDescent="0.35">
      <c r="F124" s="125"/>
    </row>
    <row r="125" spans="6:6" ht="15.75" customHeight="1" x14ac:dyDescent="0.35">
      <c r="F125" s="125"/>
    </row>
    <row r="126" spans="6:6" ht="15.75" customHeight="1" x14ac:dyDescent="0.35">
      <c r="F126" s="125"/>
    </row>
    <row r="127" spans="6:6" ht="15.75" customHeight="1" x14ac:dyDescent="0.35">
      <c r="F127" s="125"/>
    </row>
    <row r="128" spans="6:6" ht="15.75" customHeight="1" x14ac:dyDescent="0.35">
      <c r="F128" s="125"/>
    </row>
    <row r="129" spans="6:6" ht="15.75" customHeight="1" x14ac:dyDescent="0.35">
      <c r="F129" s="125"/>
    </row>
    <row r="130" spans="6:6" ht="15.75" customHeight="1" x14ac:dyDescent="0.35">
      <c r="F130" s="125"/>
    </row>
    <row r="131" spans="6:6" ht="15.75" customHeight="1" x14ac:dyDescent="0.35">
      <c r="F131" s="125"/>
    </row>
    <row r="132" spans="6:6" ht="15.75" customHeight="1" x14ac:dyDescent="0.35">
      <c r="F132" s="125"/>
    </row>
    <row r="133" spans="6:6" ht="15.75" customHeight="1" x14ac:dyDescent="0.35">
      <c r="F133" s="125"/>
    </row>
    <row r="134" spans="6:6" ht="15.75" customHeight="1" x14ac:dyDescent="0.35">
      <c r="F134" s="125"/>
    </row>
    <row r="135" spans="6:6" ht="15.75" customHeight="1" x14ac:dyDescent="0.35">
      <c r="F135" s="125"/>
    </row>
    <row r="136" spans="6:6" ht="15.75" customHeight="1" x14ac:dyDescent="0.35">
      <c r="F136" s="125"/>
    </row>
    <row r="137" spans="6:6" ht="15.75" customHeight="1" x14ac:dyDescent="0.35">
      <c r="F137" s="125"/>
    </row>
    <row r="138" spans="6:6" ht="15.75" customHeight="1" x14ac:dyDescent="0.35">
      <c r="F138" s="125"/>
    </row>
    <row r="139" spans="6:6" ht="15.75" customHeight="1" x14ac:dyDescent="0.35">
      <c r="F139" s="125"/>
    </row>
    <row r="140" spans="6:6" ht="15.75" customHeight="1" x14ac:dyDescent="0.35">
      <c r="F140" s="125"/>
    </row>
    <row r="141" spans="6:6" ht="15.75" customHeight="1" x14ac:dyDescent="0.35">
      <c r="F141" s="125"/>
    </row>
    <row r="142" spans="6:6" ht="15.75" customHeight="1" x14ac:dyDescent="0.35">
      <c r="F142" s="125"/>
    </row>
    <row r="143" spans="6:6" ht="15.75" customHeight="1" x14ac:dyDescent="0.35">
      <c r="F143" s="125"/>
    </row>
    <row r="144" spans="6:6" ht="15.75" customHeight="1" x14ac:dyDescent="0.35">
      <c r="F144" s="125"/>
    </row>
    <row r="145" spans="6:6" ht="15.75" customHeight="1" x14ac:dyDescent="0.35">
      <c r="F145" s="125"/>
    </row>
    <row r="146" spans="6:6" ht="15.75" customHeight="1" x14ac:dyDescent="0.35">
      <c r="F146" s="125"/>
    </row>
    <row r="147" spans="6:6" ht="15.75" customHeight="1" x14ac:dyDescent="0.35">
      <c r="F147" s="125"/>
    </row>
    <row r="148" spans="6:6" ht="15.75" customHeight="1" x14ac:dyDescent="0.35">
      <c r="F148" s="125"/>
    </row>
    <row r="149" spans="6:6" ht="15.75" customHeight="1" x14ac:dyDescent="0.35">
      <c r="F149" s="125"/>
    </row>
    <row r="150" spans="6:6" ht="15.75" customHeight="1" x14ac:dyDescent="0.35">
      <c r="F150" s="125"/>
    </row>
    <row r="151" spans="6:6" ht="15.75" customHeight="1" x14ac:dyDescent="0.35">
      <c r="F151" s="125"/>
    </row>
    <row r="152" spans="6:6" ht="15.75" customHeight="1" x14ac:dyDescent="0.35">
      <c r="F152" s="125"/>
    </row>
    <row r="153" spans="6:6" ht="15.75" customHeight="1" x14ac:dyDescent="0.35">
      <c r="F153" s="125"/>
    </row>
    <row r="154" spans="6:6" ht="15.75" customHeight="1" x14ac:dyDescent="0.35">
      <c r="F154" s="125"/>
    </row>
    <row r="155" spans="6:6" ht="15.75" customHeight="1" x14ac:dyDescent="0.35">
      <c r="F155" s="125"/>
    </row>
    <row r="156" spans="6:6" ht="15.75" customHeight="1" x14ac:dyDescent="0.35">
      <c r="F156" s="125"/>
    </row>
    <row r="157" spans="6:6" ht="15.75" customHeight="1" x14ac:dyDescent="0.35">
      <c r="F157" s="125"/>
    </row>
    <row r="158" spans="6:6" ht="15.75" customHeight="1" x14ac:dyDescent="0.35">
      <c r="F158" s="125"/>
    </row>
    <row r="159" spans="6:6" ht="15.75" customHeight="1" x14ac:dyDescent="0.35">
      <c r="F159" s="125"/>
    </row>
    <row r="160" spans="6:6" ht="15.75" customHeight="1" x14ac:dyDescent="0.35">
      <c r="F160" s="125"/>
    </row>
    <row r="161" spans="6:6" ht="15.75" customHeight="1" x14ac:dyDescent="0.35">
      <c r="F161" s="125"/>
    </row>
    <row r="162" spans="6:6" ht="15.75" customHeight="1" x14ac:dyDescent="0.35">
      <c r="F162" s="125"/>
    </row>
    <row r="163" spans="6:6" ht="15.75" customHeight="1" x14ac:dyDescent="0.35">
      <c r="F163" s="125"/>
    </row>
    <row r="164" spans="6:6" ht="15.75" customHeight="1" x14ac:dyDescent="0.35">
      <c r="F164" s="125"/>
    </row>
    <row r="165" spans="6:6" ht="15.75" customHeight="1" x14ac:dyDescent="0.35">
      <c r="F165" s="125"/>
    </row>
    <row r="166" spans="6:6" ht="15.75" customHeight="1" x14ac:dyDescent="0.35">
      <c r="F166" s="125"/>
    </row>
    <row r="167" spans="6:6" ht="15.75" customHeight="1" x14ac:dyDescent="0.35">
      <c r="F167" s="125"/>
    </row>
    <row r="168" spans="6:6" ht="15.75" customHeight="1" x14ac:dyDescent="0.35">
      <c r="F168" s="125"/>
    </row>
    <row r="169" spans="6:6" ht="15.75" customHeight="1" x14ac:dyDescent="0.35">
      <c r="F169" s="125"/>
    </row>
    <row r="170" spans="6:6" ht="15.75" customHeight="1" x14ac:dyDescent="0.35">
      <c r="F170" s="125"/>
    </row>
    <row r="171" spans="6:6" ht="15.75" customHeight="1" x14ac:dyDescent="0.35">
      <c r="F171" s="125"/>
    </row>
    <row r="172" spans="6:6" ht="15.75" customHeight="1" x14ac:dyDescent="0.35">
      <c r="F172" s="125"/>
    </row>
    <row r="173" spans="6:6" ht="15.75" customHeight="1" x14ac:dyDescent="0.35">
      <c r="F173" s="125"/>
    </row>
    <row r="174" spans="6:6" ht="15.75" customHeight="1" x14ac:dyDescent="0.35">
      <c r="F174" s="125"/>
    </row>
    <row r="175" spans="6:6" ht="15.75" customHeight="1" x14ac:dyDescent="0.35">
      <c r="F175" s="125"/>
    </row>
    <row r="176" spans="6:6" ht="15.75" customHeight="1" x14ac:dyDescent="0.35">
      <c r="F176" s="125"/>
    </row>
    <row r="177" spans="6:6" ht="15.75" customHeight="1" x14ac:dyDescent="0.35">
      <c r="F177" s="125"/>
    </row>
    <row r="178" spans="6:6" ht="15.75" customHeight="1" x14ac:dyDescent="0.35">
      <c r="F178" s="125"/>
    </row>
    <row r="179" spans="6:6" ht="15.75" customHeight="1" x14ac:dyDescent="0.35">
      <c r="F179" s="125"/>
    </row>
    <row r="180" spans="6:6" ht="15.75" customHeight="1" x14ac:dyDescent="0.35">
      <c r="F180" s="125"/>
    </row>
    <row r="181" spans="6:6" ht="15.75" customHeight="1" x14ac:dyDescent="0.35">
      <c r="F181" s="125"/>
    </row>
    <row r="182" spans="6:6" ht="15.75" customHeight="1" x14ac:dyDescent="0.35">
      <c r="F182" s="125"/>
    </row>
    <row r="183" spans="6:6" ht="15.75" customHeight="1" x14ac:dyDescent="0.35">
      <c r="F183" s="125"/>
    </row>
    <row r="184" spans="6:6" ht="15.75" customHeight="1" x14ac:dyDescent="0.35">
      <c r="F184" s="125"/>
    </row>
    <row r="185" spans="6:6" ht="15.75" customHeight="1" x14ac:dyDescent="0.35">
      <c r="F185" s="125"/>
    </row>
    <row r="186" spans="6:6" ht="15.75" customHeight="1" x14ac:dyDescent="0.35">
      <c r="F186" s="125"/>
    </row>
    <row r="187" spans="6:6" ht="15.75" customHeight="1" x14ac:dyDescent="0.35">
      <c r="F187" s="125"/>
    </row>
    <row r="188" spans="6:6" ht="15.75" customHeight="1" x14ac:dyDescent="0.35">
      <c r="F188" s="125"/>
    </row>
    <row r="189" spans="6:6" ht="15.75" customHeight="1" x14ac:dyDescent="0.35">
      <c r="F189" s="125"/>
    </row>
    <row r="190" spans="6:6" ht="15.75" customHeight="1" x14ac:dyDescent="0.35">
      <c r="F190" s="125"/>
    </row>
    <row r="191" spans="6:6" ht="15.75" customHeight="1" x14ac:dyDescent="0.35">
      <c r="F191" s="125"/>
    </row>
    <row r="192" spans="6:6" ht="15.75" customHeight="1" x14ac:dyDescent="0.35">
      <c r="F192" s="125"/>
    </row>
    <row r="193" spans="6:6" ht="15.75" customHeight="1" x14ac:dyDescent="0.35">
      <c r="F193" s="125"/>
    </row>
    <row r="194" spans="6:6" ht="15.75" customHeight="1" x14ac:dyDescent="0.35">
      <c r="F194" s="125"/>
    </row>
    <row r="195" spans="6:6" ht="15.75" customHeight="1" x14ac:dyDescent="0.35">
      <c r="F195" s="125"/>
    </row>
    <row r="196" spans="6:6" ht="15.75" customHeight="1" x14ac:dyDescent="0.35">
      <c r="F196" s="125"/>
    </row>
    <row r="197" spans="6:6" ht="15.75" customHeight="1" x14ac:dyDescent="0.35">
      <c r="F197" s="125"/>
    </row>
    <row r="198" spans="6:6" ht="15.75" customHeight="1" x14ac:dyDescent="0.35">
      <c r="F198" s="125"/>
    </row>
    <row r="199" spans="6:6" ht="15.75" customHeight="1" x14ac:dyDescent="0.35">
      <c r="F199" s="125"/>
    </row>
    <row r="200" spans="6:6" ht="15.75" customHeight="1" x14ac:dyDescent="0.35">
      <c r="F200" s="125"/>
    </row>
    <row r="201" spans="6:6" ht="15.75" customHeight="1" x14ac:dyDescent="0.35">
      <c r="F201" s="125"/>
    </row>
    <row r="202" spans="6:6" ht="15.75" customHeight="1" x14ac:dyDescent="0.35">
      <c r="F202" s="125"/>
    </row>
    <row r="203" spans="6:6" ht="15.75" customHeight="1" x14ac:dyDescent="0.35">
      <c r="F203" s="125"/>
    </row>
    <row r="204" spans="6:6" ht="15.75" customHeight="1" x14ac:dyDescent="0.35">
      <c r="F204" s="125"/>
    </row>
    <row r="205" spans="6:6" ht="15.75" customHeight="1" x14ac:dyDescent="0.35">
      <c r="F205" s="125"/>
    </row>
    <row r="206" spans="6:6" ht="15.75" customHeight="1" x14ac:dyDescent="0.35">
      <c r="F206" s="125"/>
    </row>
    <row r="207" spans="6:6" ht="15.75" customHeight="1" x14ac:dyDescent="0.35">
      <c r="F207" s="125"/>
    </row>
    <row r="208" spans="6:6" ht="15.75" customHeight="1" x14ac:dyDescent="0.35">
      <c r="F208" s="125"/>
    </row>
    <row r="209" spans="6:6" ht="15.75" customHeight="1" x14ac:dyDescent="0.35">
      <c r="F209" s="125"/>
    </row>
    <row r="210" spans="6:6" ht="15.75" customHeight="1" x14ac:dyDescent="0.35">
      <c r="F210" s="125"/>
    </row>
    <row r="211" spans="6:6" ht="15.75" customHeight="1" x14ac:dyDescent="0.35">
      <c r="F211" s="125"/>
    </row>
    <row r="212" spans="6:6" ht="15.75" customHeight="1" x14ac:dyDescent="0.35">
      <c r="F212" s="125"/>
    </row>
    <row r="213" spans="6:6" ht="15.75" customHeight="1" x14ac:dyDescent="0.35">
      <c r="F213" s="125"/>
    </row>
    <row r="214" spans="6:6" ht="15.75" customHeight="1" x14ac:dyDescent="0.35">
      <c r="F214" s="125"/>
    </row>
    <row r="215" spans="6:6" ht="15.75" customHeight="1" x14ac:dyDescent="0.35">
      <c r="F215" s="125"/>
    </row>
    <row r="216" spans="6:6" ht="15.75" customHeight="1" x14ac:dyDescent="0.35">
      <c r="F216" s="125"/>
    </row>
    <row r="217" spans="6:6" ht="15.75" customHeight="1" x14ac:dyDescent="0.35">
      <c r="F217" s="125"/>
    </row>
    <row r="218" spans="6:6" ht="15.75" customHeight="1" x14ac:dyDescent="0.35">
      <c r="F218" s="125"/>
    </row>
    <row r="219" spans="6:6" ht="15.75" customHeight="1" x14ac:dyDescent="0.35">
      <c r="F219" s="125"/>
    </row>
    <row r="220" spans="6:6" ht="15.75" customHeight="1" x14ac:dyDescent="0.35">
      <c r="F220" s="125"/>
    </row>
    <row r="221" spans="6:6" ht="15.75" customHeight="1" x14ac:dyDescent="0.35">
      <c r="F221" s="125"/>
    </row>
    <row r="222" spans="6:6" ht="15.75" customHeight="1" x14ac:dyDescent="0.3"/>
    <row r="223" spans="6:6" ht="15.75" customHeight="1" x14ac:dyDescent="0.3"/>
    <row r="224" spans="6: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A8:B8"/>
    <mergeCell ref="B17:C17"/>
    <mergeCell ref="D1:K1"/>
    <mergeCell ref="D2:E2"/>
    <mergeCell ref="F2:G2"/>
    <mergeCell ref="H2:I2"/>
    <mergeCell ref="J2:K2"/>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78e2cce-0006-445b-9212-02636bec75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880344AE76EB4080797A27FADD0949" ma:contentTypeVersion="12" ma:contentTypeDescription="Crear nuevo documento." ma:contentTypeScope="" ma:versionID="7c7f7d3091868e4df8897d41119d4c48">
  <xsd:schema xmlns:xsd="http://www.w3.org/2001/XMLSchema" xmlns:xs="http://www.w3.org/2001/XMLSchema" xmlns:p="http://schemas.microsoft.com/office/2006/metadata/properties" xmlns:ns3="b78e2cce-0006-445b-9212-02636bec7572" targetNamespace="http://schemas.microsoft.com/office/2006/metadata/properties" ma:root="true" ma:fieldsID="b6295d99917b59d5bbd7644322906617" ns3:_="">
    <xsd:import namespace="b78e2cce-0006-445b-9212-02636bec757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8e2cce-0006-445b-9212-02636bec757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4CEED-86AB-4AF0-9110-12BA1ACE3DDF}">
  <ds:schemaRefs>
    <ds:schemaRef ds:uri="http://www.w3.org/XML/1998/namespace"/>
    <ds:schemaRef ds:uri="http://schemas.microsoft.com/office/2006/metadata/properties"/>
    <ds:schemaRef ds:uri="http://purl.org/dc/terms/"/>
    <ds:schemaRef ds:uri="b78e2cce-0006-445b-9212-02636bec7572"/>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27FE42E-DF9D-46E4-9E63-04562A6EBAE0}">
  <ds:schemaRefs>
    <ds:schemaRef ds:uri="http://schemas.microsoft.com/sharepoint/v3/contenttype/forms"/>
  </ds:schemaRefs>
</ds:datastoreItem>
</file>

<file path=customXml/itemProps3.xml><?xml version="1.0" encoding="utf-8"?>
<ds:datastoreItem xmlns:ds="http://schemas.openxmlformats.org/officeDocument/2006/customXml" ds:itemID="{20F6547B-308B-4948-A33C-5F3AAE103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8e2cce-0006-445b-9212-02636bec75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DEUDAS</vt:lpstr>
      <vt:lpstr>Hoja12</vt:lpstr>
      <vt:lpstr>ICETEX</vt:lpstr>
      <vt:lpstr>Hoja2</vt:lpstr>
      <vt:lpstr>Hoja3</vt:lpstr>
      <vt:lpstr>Hoja5</vt:lpstr>
      <vt:lpstr>Hoja7</vt:lpstr>
      <vt:lpstr>LIQUIDADOR AUXILIAR</vt:lpstr>
      <vt:lpstr>LIQUIDADOR FACTURADOR</vt:lpstr>
      <vt:lpstr>Lavadora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Duran Vergara</dc:creator>
  <cp:lastModifiedBy>Alejandro Duran Vergara</cp:lastModifiedBy>
  <cp:lastPrinted>2025-05-14T05:05:10Z</cp:lastPrinted>
  <dcterms:created xsi:type="dcterms:W3CDTF">2019-02-25T12:28:57Z</dcterms:created>
  <dcterms:modified xsi:type="dcterms:W3CDTF">2025-08-11T14:45:28Z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0x010100F9880344AE76EB4080797A27FADD0949</vt:lpwstr>
  </property>
</Properties>
</file>