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uranv\OneDrive - TRANSPORTADORA DE GAS INTERNACIONAL S.A. ESP\Escritorio\"/>
    </mc:Choice>
  </mc:AlternateContent>
  <xr:revisionPtr revIDLastSave="18" documentId="13_ncr:1_{3D779630-3930-470F-8520-8F3D48C8FC7A}" xr6:coauthVersionLast="36" xr6:coauthVersionMax="47" xr10:uidLastSave="{3964DC53-3DF5-4DB5-BABE-443B7C98ABAF}"/>
  <bookViews>
    <workbookView xWindow="-120" yWindow="-120" windowWidth="29040" windowHeight="15720" tabRatio="792" activeTab="5" xr2:uid="{00000000-000D-0000-FFFF-FFFF00000000}"/>
  </bookViews>
  <sheets>
    <sheet name="Instructivo" sheetId="2" r:id="rId1"/>
    <sheet name="Contexto" sheetId="3" r:id="rId2"/>
    <sheet name="Matriz de Criterios" sheetId="4" r:id="rId3"/>
    <sheet name="Listas-Input" sheetId="5" state="hidden" r:id="rId4"/>
    <sheet name="Parámetros" sheetId="6" state="hidden" r:id="rId5"/>
    <sheet name="Matriz de riesgos" sheetId="7" r:id="rId6"/>
    <sheet name="Matriz seguimiento (2)" sheetId="9" r:id="rId7"/>
    <sheet name="Matriz seguimiento (3)" sheetId="10" r:id="rId8"/>
  </sheets>
  <externalReferences>
    <externalReference r:id="rId9"/>
    <externalReference r:id="rId10"/>
  </externalReferences>
  <definedNames>
    <definedName name="_xlnm._FilterDatabase" localSheetId="5" hidden="1">'Matriz de riesgos'!$A$10:$AG$10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9" i="7" l="1"/>
  <c r="L29" i="7"/>
  <c r="W29" i="7" s="1"/>
  <c r="K29" i="7"/>
  <c r="U28" i="7"/>
  <c r="L28" i="7"/>
  <c r="W28" i="7" s="1"/>
  <c r="K28" i="7"/>
  <c r="U27" i="7"/>
  <c r="L27" i="7"/>
  <c r="W27" i="7" s="1"/>
  <c r="K27" i="7"/>
  <c r="U26" i="7"/>
  <c r="L26" i="7"/>
  <c r="W26" i="7" s="1"/>
  <c r="K26" i="7"/>
  <c r="U25" i="7"/>
  <c r="L25" i="7"/>
  <c r="W25" i="7" s="1"/>
  <c r="K25" i="7"/>
  <c r="U24" i="7"/>
  <c r="L24" i="7"/>
  <c r="W24" i="7" s="1"/>
  <c r="K24" i="7"/>
  <c r="U23" i="7"/>
  <c r="L23" i="7"/>
  <c r="W23" i="7" s="1"/>
  <c r="K23" i="7"/>
  <c r="U22" i="7"/>
  <c r="L22" i="7"/>
  <c r="W22" i="7" s="1"/>
  <c r="K22" i="7"/>
  <c r="U21" i="7"/>
  <c r="L21" i="7"/>
  <c r="W21" i="7" s="1"/>
  <c r="K21" i="7"/>
  <c r="U20" i="7"/>
  <c r="L20" i="7"/>
  <c r="W20" i="7" s="1"/>
  <c r="K20" i="7"/>
  <c r="U19" i="7"/>
  <c r="L19" i="7"/>
  <c r="W19" i="7" s="1"/>
  <c r="K19" i="7"/>
  <c r="U18" i="7"/>
  <c r="L18" i="7"/>
  <c r="W18" i="7" s="1"/>
  <c r="K18" i="7"/>
  <c r="U17" i="7"/>
  <c r="L17" i="7"/>
  <c r="W17" i="7" s="1"/>
  <c r="K17" i="7"/>
  <c r="U16" i="7"/>
  <c r="L16" i="7"/>
  <c r="W16" i="7" s="1"/>
  <c r="K16" i="7"/>
  <c r="U15" i="7"/>
  <c r="L15" i="7"/>
  <c r="W15" i="7" s="1"/>
  <c r="K15" i="7"/>
  <c r="U14" i="7"/>
  <c r="L14" i="7"/>
  <c r="W14" i="7" s="1"/>
  <c r="K14" i="7"/>
  <c r="L13" i="7"/>
  <c r="W13" i="7" s="1"/>
  <c r="K13" i="7"/>
  <c r="U12" i="7"/>
  <c r="T12" i="7"/>
  <c r="L12" i="7"/>
  <c r="W12" i="7" s="1"/>
  <c r="K12" i="7"/>
  <c r="U11" i="7"/>
  <c r="L11" i="7"/>
  <c r="W11" i="7" s="1"/>
  <c r="K11" i="7"/>
  <c r="J7" i="7"/>
  <c r="E39" i="4"/>
  <c r="V29" i="7" l="1"/>
  <c r="M29" i="7"/>
  <c r="N29" i="7" s="1"/>
  <c r="X29" i="7"/>
  <c r="Y29" i="7" s="1"/>
  <c r="Z29" i="7"/>
  <c r="AA29" i="7" s="1"/>
  <c r="V27" i="7"/>
  <c r="M27" i="7"/>
  <c r="N27" i="7" s="1"/>
  <c r="X27" i="7"/>
  <c r="Y27" i="7" s="1"/>
  <c r="Z27" i="7"/>
  <c r="AA27" i="7" s="1"/>
  <c r="V28" i="7"/>
  <c r="M28" i="7"/>
  <c r="N28" i="7" s="1"/>
  <c r="X28" i="7"/>
  <c r="Y28" i="7" s="1"/>
  <c r="Z28" i="7"/>
  <c r="AA28" i="7" s="1"/>
  <c r="V26" i="7"/>
  <c r="M26" i="7"/>
  <c r="N26" i="7" s="1"/>
  <c r="X26" i="7"/>
  <c r="Y26" i="7" s="1"/>
  <c r="Z26" i="7"/>
  <c r="AA26" i="7" s="1"/>
  <c r="V25" i="7"/>
  <c r="M25" i="7"/>
  <c r="N25" i="7" s="1"/>
  <c r="X25" i="7"/>
  <c r="Y25" i="7" s="1"/>
  <c r="Z25" i="7"/>
  <c r="AA25" i="7" s="1"/>
  <c r="V24" i="7"/>
  <c r="M24" i="7"/>
  <c r="N24" i="7" s="1"/>
  <c r="X24" i="7"/>
  <c r="Y24" i="7" s="1"/>
  <c r="Z24" i="7"/>
  <c r="AA24" i="7" s="1"/>
  <c r="V23" i="7"/>
  <c r="M23" i="7"/>
  <c r="N23" i="7" s="1"/>
  <c r="X23" i="7"/>
  <c r="Y23" i="7" s="1"/>
  <c r="Z23" i="7"/>
  <c r="AA23" i="7" s="1"/>
  <c r="V22" i="7"/>
  <c r="M22" i="7"/>
  <c r="N22" i="7" s="1"/>
  <c r="X22" i="7"/>
  <c r="Y22" i="7" s="1"/>
  <c r="Z22" i="7"/>
  <c r="AA22" i="7" s="1"/>
  <c r="V21" i="7"/>
  <c r="M21" i="7"/>
  <c r="N21" i="7" s="1"/>
  <c r="X21" i="7"/>
  <c r="Y21" i="7" s="1"/>
  <c r="Z21" i="7"/>
  <c r="AA21" i="7" s="1"/>
  <c r="V20" i="7"/>
  <c r="M20" i="7"/>
  <c r="N20" i="7" s="1"/>
  <c r="X20" i="7"/>
  <c r="Y20" i="7" s="1"/>
  <c r="Z20" i="7"/>
  <c r="AA20" i="7" s="1"/>
  <c r="V19" i="7"/>
  <c r="M19" i="7"/>
  <c r="N19" i="7" s="1"/>
  <c r="X19" i="7"/>
  <c r="Y19" i="7" s="1"/>
  <c r="Z19" i="7"/>
  <c r="AA19" i="7" s="1"/>
  <c r="V18" i="7"/>
  <c r="M18" i="7"/>
  <c r="N18" i="7" s="1"/>
  <c r="X18" i="7"/>
  <c r="Y18" i="7" s="1"/>
  <c r="Z18" i="7"/>
  <c r="AA18" i="7" s="1"/>
  <c r="V17" i="7"/>
  <c r="X17" i="7" s="1"/>
  <c r="Y17" i="7" s="1"/>
  <c r="Z17" i="7" s="1"/>
  <c r="AA17" i="7" s="1"/>
  <c r="M17" i="7"/>
  <c r="N17" i="7" s="1"/>
  <c r="V16" i="7"/>
  <c r="M16" i="7"/>
  <c r="N16" i="7" s="1"/>
  <c r="X16" i="7"/>
  <c r="Y16" i="7" s="1"/>
  <c r="Z16" i="7"/>
  <c r="AA16" i="7" s="1"/>
  <c r="V15" i="7"/>
  <c r="M15" i="7"/>
  <c r="N15" i="7" s="1"/>
  <c r="X15" i="7"/>
  <c r="Y15" i="7" s="1"/>
  <c r="Z15" i="7"/>
  <c r="AA15" i="7" s="1"/>
  <c r="V14" i="7"/>
  <c r="M14" i="7"/>
  <c r="N14" i="7" s="1"/>
  <c r="X14" i="7"/>
  <c r="Y14" i="7" s="1"/>
  <c r="Z14" i="7"/>
  <c r="AA14" i="7" s="1"/>
  <c r="V13" i="7"/>
  <c r="M13" i="7"/>
  <c r="N13" i="7" s="1"/>
  <c r="X13" i="7"/>
  <c r="Y13" i="7" s="1"/>
  <c r="Z13" i="7" s="1"/>
  <c r="AA13" i="7" s="1"/>
  <c r="V12" i="7"/>
  <c r="M12" i="7"/>
  <c r="N12" i="7" s="1"/>
  <c r="X12" i="7"/>
  <c r="Y12" i="7" s="1"/>
  <c r="Z12" i="7"/>
  <c r="AA12" i="7" s="1"/>
  <c r="V11" i="7"/>
  <c r="M11" i="7"/>
  <c r="X11" i="7"/>
  <c r="Y11" i="7" s="1"/>
  <c r="Z11" i="7"/>
  <c r="AA11" i="7" s="1"/>
  <c r="K39" i="4" l="1"/>
  <c r="I39" i="4"/>
  <c r="G39" i="4"/>
  <c r="K37" i="4"/>
  <c r="I37" i="4"/>
  <c r="G37" i="4"/>
  <c r="E37" i="4"/>
  <c r="K24" i="4"/>
  <c r="I24" i="4"/>
  <c r="G24" i="4"/>
  <c r="E24" i="4"/>
  <c r="K21" i="4"/>
  <c r="I21" i="4"/>
  <c r="G21" i="4"/>
  <c r="E21" i="4"/>
  <c r="K19" i="4"/>
  <c r="I19" i="4"/>
  <c r="G19" i="4"/>
  <c r="E19" i="4"/>
  <c r="D7" i="7"/>
  <c r="P7" i="7" l="1"/>
  <c r="S60" i="10" l="1"/>
  <c r="R60" i="10"/>
  <c r="Q60" i="10"/>
  <c r="P60" i="10"/>
  <c r="O60" i="10"/>
  <c r="T60" i="10" s="1"/>
  <c r="L60" i="10"/>
  <c r="K60" i="10"/>
  <c r="M60" i="10" s="1"/>
  <c r="N60" i="10" s="1"/>
  <c r="F60" i="10"/>
  <c r="E60" i="10"/>
  <c r="D60" i="10"/>
  <c r="C60" i="10"/>
  <c r="B60" i="10"/>
  <c r="A60" i="10"/>
  <c r="S59" i="10"/>
  <c r="R59" i="10"/>
  <c r="Q59" i="10"/>
  <c r="P59" i="10"/>
  <c r="O59" i="10"/>
  <c r="T59" i="10" s="1"/>
  <c r="L59" i="10"/>
  <c r="K59" i="10"/>
  <c r="M59" i="10" s="1"/>
  <c r="N59" i="10" s="1"/>
  <c r="F59" i="10"/>
  <c r="E59" i="10"/>
  <c r="D59" i="10"/>
  <c r="C59" i="10"/>
  <c r="B59" i="10"/>
  <c r="A59" i="10"/>
  <c r="S58" i="10"/>
  <c r="R58" i="10"/>
  <c r="Q58" i="10"/>
  <c r="P58" i="10"/>
  <c r="O58" i="10"/>
  <c r="T58" i="10" s="1"/>
  <c r="L58" i="10"/>
  <c r="K58" i="10"/>
  <c r="M58" i="10" s="1"/>
  <c r="N58" i="10" s="1"/>
  <c r="F58" i="10"/>
  <c r="E58" i="10"/>
  <c r="D58" i="10"/>
  <c r="C58" i="10"/>
  <c r="B58" i="10"/>
  <c r="A58" i="10"/>
  <c r="S57" i="10"/>
  <c r="R57" i="10"/>
  <c r="Q57" i="10"/>
  <c r="P57" i="10"/>
  <c r="O57" i="10"/>
  <c r="T57" i="10" s="1"/>
  <c r="L57" i="10"/>
  <c r="K57" i="10"/>
  <c r="M57" i="10" s="1"/>
  <c r="N57" i="10" s="1"/>
  <c r="F57" i="10"/>
  <c r="E57" i="10"/>
  <c r="D57" i="10"/>
  <c r="C57" i="10"/>
  <c r="B57" i="10"/>
  <c r="A57" i="10"/>
  <c r="S56" i="10"/>
  <c r="R56" i="10"/>
  <c r="Q56" i="10"/>
  <c r="P56" i="10"/>
  <c r="O56" i="10"/>
  <c r="T56" i="10" s="1"/>
  <c r="L56" i="10"/>
  <c r="K56" i="10"/>
  <c r="M56" i="10" s="1"/>
  <c r="N56" i="10" s="1"/>
  <c r="F56" i="10"/>
  <c r="E56" i="10"/>
  <c r="D56" i="10"/>
  <c r="C56" i="10"/>
  <c r="B56" i="10"/>
  <c r="A56" i="10"/>
  <c r="S55" i="10"/>
  <c r="R55" i="10"/>
  <c r="Q55" i="10"/>
  <c r="P55" i="10"/>
  <c r="O55" i="10"/>
  <c r="T55" i="10" s="1"/>
  <c r="L55" i="10"/>
  <c r="K55" i="10"/>
  <c r="M55" i="10" s="1"/>
  <c r="N55" i="10" s="1"/>
  <c r="F55" i="10"/>
  <c r="E55" i="10"/>
  <c r="D55" i="10"/>
  <c r="C55" i="10"/>
  <c r="B55" i="10"/>
  <c r="A55" i="10"/>
  <c r="S54" i="10"/>
  <c r="R54" i="10"/>
  <c r="Q54" i="10"/>
  <c r="P54" i="10"/>
  <c r="O54" i="10"/>
  <c r="T54" i="10" s="1"/>
  <c r="L54" i="10"/>
  <c r="K54" i="10"/>
  <c r="M54" i="10" s="1"/>
  <c r="N54" i="10" s="1"/>
  <c r="F54" i="10"/>
  <c r="E54" i="10"/>
  <c r="D54" i="10"/>
  <c r="C54" i="10"/>
  <c r="B54" i="10"/>
  <c r="A54" i="10"/>
  <c r="S53" i="10"/>
  <c r="R53" i="10"/>
  <c r="Q53" i="10"/>
  <c r="P53" i="10"/>
  <c r="O53" i="10"/>
  <c r="T53" i="10" s="1"/>
  <c r="L53" i="10"/>
  <c r="K53" i="10"/>
  <c r="M53" i="10" s="1"/>
  <c r="N53" i="10" s="1"/>
  <c r="F53" i="10"/>
  <c r="E53" i="10"/>
  <c r="D53" i="10"/>
  <c r="C53" i="10"/>
  <c r="B53" i="10"/>
  <c r="A53" i="10"/>
  <c r="S52" i="10"/>
  <c r="R52" i="10"/>
  <c r="Q52" i="10"/>
  <c r="P52" i="10"/>
  <c r="O52" i="10"/>
  <c r="T52" i="10" s="1"/>
  <c r="L52" i="10"/>
  <c r="K52" i="10"/>
  <c r="M52" i="10" s="1"/>
  <c r="N52" i="10" s="1"/>
  <c r="F52" i="10"/>
  <c r="E52" i="10"/>
  <c r="D52" i="10"/>
  <c r="C52" i="10"/>
  <c r="B52" i="10"/>
  <c r="A52" i="10"/>
  <c r="S51" i="10"/>
  <c r="R51" i="10"/>
  <c r="Q51" i="10"/>
  <c r="P51" i="10"/>
  <c r="O51" i="10"/>
  <c r="T51" i="10" s="1"/>
  <c r="L51" i="10"/>
  <c r="K51" i="10"/>
  <c r="M51" i="10" s="1"/>
  <c r="N51" i="10" s="1"/>
  <c r="F51" i="10"/>
  <c r="E51" i="10"/>
  <c r="D51" i="10"/>
  <c r="C51" i="10"/>
  <c r="B51" i="10"/>
  <c r="A51" i="10"/>
  <c r="S50" i="10"/>
  <c r="R50" i="10"/>
  <c r="Q50" i="10"/>
  <c r="P50" i="10"/>
  <c r="O50" i="10"/>
  <c r="T50" i="10" s="1"/>
  <c r="L50" i="10"/>
  <c r="K50" i="10"/>
  <c r="M50" i="10" s="1"/>
  <c r="N50" i="10" s="1"/>
  <c r="F50" i="10"/>
  <c r="E50" i="10"/>
  <c r="D50" i="10"/>
  <c r="C50" i="10"/>
  <c r="B50" i="10"/>
  <c r="A50" i="10"/>
  <c r="S49" i="10"/>
  <c r="R49" i="10"/>
  <c r="Q49" i="10"/>
  <c r="P49" i="10"/>
  <c r="O49" i="10"/>
  <c r="T49" i="10" s="1"/>
  <c r="L49" i="10"/>
  <c r="K49" i="10"/>
  <c r="M49" i="10" s="1"/>
  <c r="N49" i="10" s="1"/>
  <c r="F49" i="10"/>
  <c r="E49" i="10"/>
  <c r="D49" i="10"/>
  <c r="C49" i="10"/>
  <c r="B49" i="10"/>
  <c r="A49" i="10"/>
  <c r="S48" i="10"/>
  <c r="R48" i="10"/>
  <c r="Q48" i="10"/>
  <c r="P48" i="10"/>
  <c r="O48" i="10"/>
  <c r="T48" i="10" s="1"/>
  <c r="L48" i="10"/>
  <c r="K48" i="10"/>
  <c r="M48" i="10" s="1"/>
  <c r="N48" i="10" s="1"/>
  <c r="F48" i="10"/>
  <c r="E48" i="10"/>
  <c r="D48" i="10"/>
  <c r="C48" i="10"/>
  <c r="B48" i="10"/>
  <c r="A48" i="10"/>
  <c r="S47" i="10"/>
  <c r="R47" i="10"/>
  <c r="Q47" i="10"/>
  <c r="P47" i="10"/>
  <c r="O47" i="10"/>
  <c r="T47" i="10" s="1"/>
  <c r="L47" i="10"/>
  <c r="K47" i="10"/>
  <c r="M47" i="10" s="1"/>
  <c r="N47" i="10" s="1"/>
  <c r="F47" i="10"/>
  <c r="E47" i="10"/>
  <c r="D47" i="10"/>
  <c r="C47" i="10"/>
  <c r="B47" i="10"/>
  <c r="A47" i="10"/>
  <c r="S46" i="10"/>
  <c r="R46" i="10"/>
  <c r="Q46" i="10"/>
  <c r="P46" i="10"/>
  <c r="O46" i="10"/>
  <c r="T46" i="10" s="1"/>
  <c r="L46" i="10"/>
  <c r="K46" i="10"/>
  <c r="M46" i="10" s="1"/>
  <c r="N46" i="10" s="1"/>
  <c r="F46" i="10"/>
  <c r="E46" i="10"/>
  <c r="D46" i="10"/>
  <c r="C46" i="10"/>
  <c r="B46" i="10"/>
  <c r="A46" i="10"/>
  <c r="S45" i="10"/>
  <c r="R45" i="10"/>
  <c r="Q45" i="10"/>
  <c r="P45" i="10"/>
  <c r="O45" i="10"/>
  <c r="T45" i="10" s="1"/>
  <c r="L45" i="10"/>
  <c r="K45" i="10"/>
  <c r="M45" i="10" s="1"/>
  <c r="N45" i="10" s="1"/>
  <c r="F45" i="10"/>
  <c r="E45" i="10"/>
  <c r="D45" i="10"/>
  <c r="C45" i="10"/>
  <c r="B45" i="10"/>
  <c r="A45" i="10"/>
  <c r="S44" i="10"/>
  <c r="R44" i="10"/>
  <c r="Q44" i="10"/>
  <c r="P44" i="10"/>
  <c r="O44" i="10"/>
  <c r="T44" i="10" s="1"/>
  <c r="L44" i="10"/>
  <c r="K44" i="10"/>
  <c r="M44" i="10" s="1"/>
  <c r="N44" i="10" s="1"/>
  <c r="F44" i="10"/>
  <c r="E44" i="10"/>
  <c r="D44" i="10"/>
  <c r="C44" i="10"/>
  <c r="B44" i="10"/>
  <c r="A44" i="10"/>
  <c r="S43" i="10"/>
  <c r="R43" i="10"/>
  <c r="Q43" i="10"/>
  <c r="P43" i="10"/>
  <c r="O43" i="10"/>
  <c r="T43" i="10" s="1"/>
  <c r="L43" i="10"/>
  <c r="K43" i="10"/>
  <c r="M43" i="10" s="1"/>
  <c r="N43" i="10" s="1"/>
  <c r="F43" i="10"/>
  <c r="E43" i="10"/>
  <c r="D43" i="10"/>
  <c r="C43" i="10"/>
  <c r="B43" i="10"/>
  <c r="A43" i="10"/>
  <c r="S42" i="10"/>
  <c r="R42" i="10"/>
  <c r="Q42" i="10"/>
  <c r="P42" i="10"/>
  <c r="O42" i="10"/>
  <c r="T42" i="10" s="1"/>
  <c r="L42" i="10"/>
  <c r="K42" i="10"/>
  <c r="M42" i="10" s="1"/>
  <c r="N42" i="10" s="1"/>
  <c r="F42" i="10"/>
  <c r="E42" i="10"/>
  <c r="D42" i="10"/>
  <c r="C42" i="10"/>
  <c r="B42" i="10"/>
  <c r="A42" i="10"/>
  <c r="S41" i="10"/>
  <c r="R41" i="10"/>
  <c r="Q41" i="10"/>
  <c r="P41" i="10"/>
  <c r="O41" i="10"/>
  <c r="T41" i="10" s="1"/>
  <c r="L41" i="10"/>
  <c r="K41" i="10"/>
  <c r="M41" i="10" s="1"/>
  <c r="N41" i="10" s="1"/>
  <c r="F41" i="10"/>
  <c r="E41" i="10"/>
  <c r="D41" i="10"/>
  <c r="C41" i="10"/>
  <c r="B41" i="10"/>
  <c r="A41" i="10"/>
  <c r="S40" i="10"/>
  <c r="R40" i="10"/>
  <c r="Q40" i="10"/>
  <c r="P40" i="10"/>
  <c r="O40" i="10"/>
  <c r="T40" i="10" s="1"/>
  <c r="L40" i="10"/>
  <c r="K40" i="10"/>
  <c r="M40" i="10" s="1"/>
  <c r="N40" i="10" s="1"/>
  <c r="F40" i="10"/>
  <c r="E40" i="10"/>
  <c r="D40" i="10"/>
  <c r="C40" i="10"/>
  <c r="B40" i="10"/>
  <c r="A40" i="10"/>
  <c r="S39" i="10"/>
  <c r="R39" i="10"/>
  <c r="Q39" i="10"/>
  <c r="P39" i="10"/>
  <c r="O39" i="10"/>
  <c r="T39" i="10" s="1"/>
  <c r="L39" i="10"/>
  <c r="K39" i="10"/>
  <c r="M39" i="10" s="1"/>
  <c r="N39" i="10" s="1"/>
  <c r="F39" i="10"/>
  <c r="E39" i="10"/>
  <c r="D39" i="10"/>
  <c r="C39" i="10"/>
  <c r="B39" i="10"/>
  <c r="A39" i="10"/>
  <c r="S38" i="10"/>
  <c r="R38" i="10"/>
  <c r="Q38" i="10"/>
  <c r="P38" i="10"/>
  <c r="O38" i="10"/>
  <c r="T38" i="10" s="1"/>
  <c r="L38" i="10"/>
  <c r="K38" i="10"/>
  <c r="M38" i="10" s="1"/>
  <c r="N38" i="10" s="1"/>
  <c r="F38" i="10"/>
  <c r="E38" i="10"/>
  <c r="D38" i="10"/>
  <c r="C38" i="10"/>
  <c r="B38" i="10"/>
  <c r="A38" i="10"/>
  <c r="S37" i="10"/>
  <c r="R37" i="10"/>
  <c r="Q37" i="10"/>
  <c r="P37" i="10"/>
  <c r="O37" i="10"/>
  <c r="T37" i="10" s="1"/>
  <c r="L37" i="10"/>
  <c r="K37" i="10"/>
  <c r="M37" i="10" s="1"/>
  <c r="N37" i="10" s="1"/>
  <c r="F37" i="10"/>
  <c r="E37" i="10"/>
  <c r="D37" i="10"/>
  <c r="C37" i="10"/>
  <c r="B37" i="10"/>
  <c r="A37" i="10"/>
  <c r="S36" i="10"/>
  <c r="R36" i="10"/>
  <c r="Q36" i="10"/>
  <c r="P36" i="10"/>
  <c r="O36" i="10"/>
  <c r="T36" i="10" s="1"/>
  <c r="L36" i="10"/>
  <c r="K36" i="10"/>
  <c r="M36" i="10" s="1"/>
  <c r="N36" i="10" s="1"/>
  <c r="F36" i="10"/>
  <c r="E36" i="10"/>
  <c r="D36" i="10"/>
  <c r="C36" i="10"/>
  <c r="B36" i="10"/>
  <c r="A36" i="10"/>
  <c r="S35" i="10"/>
  <c r="R35" i="10"/>
  <c r="Q35" i="10"/>
  <c r="P35" i="10"/>
  <c r="O35" i="10"/>
  <c r="T35" i="10" s="1"/>
  <c r="L35" i="10"/>
  <c r="K35" i="10"/>
  <c r="M35" i="10" s="1"/>
  <c r="N35" i="10" s="1"/>
  <c r="F35" i="10"/>
  <c r="E35" i="10"/>
  <c r="D35" i="10"/>
  <c r="C35" i="10"/>
  <c r="B35" i="10"/>
  <c r="A35" i="10"/>
  <c r="S34" i="10"/>
  <c r="R34" i="10"/>
  <c r="Q34" i="10"/>
  <c r="P34" i="10"/>
  <c r="O34" i="10"/>
  <c r="T34" i="10" s="1"/>
  <c r="L34" i="10"/>
  <c r="K34" i="10"/>
  <c r="M34" i="10" s="1"/>
  <c r="N34" i="10" s="1"/>
  <c r="F34" i="10"/>
  <c r="E34" i="10"/>
  <c r="D34" i="10"/>
  <c r="C34" i="10"/>
  <c r="B34" i="10"/>
  <c r="A34" i="10"/>
  <c r="S33" i="10"/>
  <c r="R33" i="10"/>
  <c r="Q33" i="10"/>
  <c r="P33" i="10"/>
  <c r="O33" i="10"/>
  <c r="T33" i="10" s="1"/>
  <c r="L33" i="10"/>
  <c r="K33" i="10"/>
  <c r="M33" i="10" s="1"/>
  <c r="N33" i="10" s="1"/>
  <c r="F33" i="10"/>
  <c r="E33" i="10"/>
  <c r="D33" i="10"/>
  <c r="C33" i="10"/>
  <c r="B33" i="10"/>
  <c r="A33" i="10"/>
  <c r="S32" i="10"/>
  <c r="R32" i="10"/>
  <c r="Q32" i="10"/>
  <c r="P32" i="10"/>
  <c r="O32" i="10"/>
  <c r="T32" i="10" s="1"/>
  <c r="L32" i="10"/>
  <c r="K32" i="10"/>
  <c r="M32" i="10" s="1"/>
  <c r="N32" i="10" s="1"/>
  <c r="F32" i="10"/>
  <c r="E32" i="10"/>
  <c r="D32" i="10"/>
  <c r="C32" i="10"/>
  <c r="B32" i="10"/>
  <c r="A32" i="10"/>
  <c r="S31" i="10"/>
  <c r="R31" i="10"/>
  <c r="Q31" i="10"/>
  <c r="P31" i="10"/>
  <c r="O31" i="10"/>
  <c r="T31" i="10" s="1"/>
  <c r="L31" i="10"/>
  <c r="K31" i="10"/>
  <c r="M31" i="10" s="1"/>
  <c r="N31" i="10" s="1"/>
  <c r="F31" i="10"/>
  <c r="E31" i="10"/>
  <c r="D31" i="10"/>
  <c r="C31" i="10"/>
  <c r="B31" i="10"/>
  <c r="A31" i="10"/>
  <c r="S30" i="10"/>
  <c r="R30" i="10"/>
  <c r="Q30" i="10"/>
  <c r="P30" i="10"/>
  <c r="O30" i="10"/>
  <c r="T30" i="10" s="1"/>
  <c r="L30" i="10"/>
  <c r="K30" i="10"/>
  <c r="M30" i="10" s="1"/>
  <c r="N30" i="10" s="1"/>
  <c r="F30" i="10"/>
  <c r="E30" i="10"/>
  <c r="D30" i="10"/>
  <c r="C30" i="10"/>
  <c r="B30" i="10"/>
  <c r="A30" i="10"/>
  <c r="S29" i="10"/>
  <c r="R29" i="10"/>
  <c r="Q29" i="10"/>
  <c r="P29" i="10"/>
  <c r="O29" i="10"/>
  <c r="T29" i="10" s="1"/>
  <c r="L29" i="10"/>
  <c r="K29" i="10"/>
  <c r="M29" i="10" s="1"/>
  <c r="N29" i="10" s="1"/>
  <c r="F29" i="10"/>
  <c r="E29" i="10"/>
  <c r="D29" i="10"/>
  <c r="C29" i="10"/>
  <c r="B29" i="10"/>
  <c r="A29" i="10"/>
  <c r="S28" i="10"/>
  <c r="R28" i="10"/>
  <c r="Q28" i="10"/>
  <c r="P28" i="10"/>
  <c r="O28" i="10"/>
  <c r="T28" i="10" s="1"/>
  <c r="L28" i="10"/>
  <c r="K28" i="10"/>
  <c r="M28" i="10" s="1"/>
  <c r="N28" i="10" s="1"/>
  <c r="F28" i="10"/>
  <c r="E28" i="10"/>
  <c r="D28" i="10"/>
  <c r="C28" i="10"/>
  <c r="B28" i="10"/>
  <c r="A28" i="10"/>
  <c r="S27" i="10"/>
  <c r="R27" i="10"/>
  <c r="Q27" i="10"/>
  <c r="P27" i="10"/>
  <c r="O27" i="10"/>
  <c r="T27" i="10" s="1"/>
  <c r="L27" i="10"/>
  <c r="K27" i="10"/>
  <c r="M27" i="10" s="1"/>
  <c r="N27" i="10" s="1"/>
  <c r="F27" i="10"/>
  <c r="E27" i="10"/>
  <c r="D27" i="10"/>
  <c r="C27" i="10"/>
  <c r="B27" i="10"/>
  <c r="A27" i="10"/>
  <c r="S26" i="10"/>
  <c r="R26" i="10"/>
  <c r="Q26" i="10"/>
  <c r="P26" i="10"/>
  <c r="O26" i="10"/>
  <c r="T26" i="10" s="1"/>
  <c r="L26" i="10"/>
  <c r="K26" i="10"/>
  <c r="M26" i="10" s="1"/>
  <c r="N26" i="10" s="1"/>
  <c r="F26" i="10"/>
  <c r="E26" i="10"/>
  <c r="D26" i="10"/>
  <c r="C26" i="10"/>
  <c r="B26" i="10"/>
  <c r="A26" i="10"/>
  <c r="S25" i="10"/>
  <c r="R25" i="10"/>
  <c r="Q25" i="10"/>
  <c r="P25" i="10"/>
  <c r="O25" i="10"/>
  <c r="T25" i="10" s="1"/>
  <c r="L25" i="10"/>
  <c r="K25" i="10"/>
  <c r="M25" i="10" s="1"/>
  <c r="N25" i="10" s="1"/>
  <c r="F25" i="10"/>
  <c r="E25" i="10"/>
  <c r="D25" i="10"/>
  <c r="C25" i="10"/>
  <c r="B25" i="10"/>
  <c r="A25" i="10"/>
  <c r="S24" i="10"/>
  <c r="R24" i="10"/>
  <c r="Q24" i="10"/>
  <c r="P24" i="10"/>
  <c r="O24" i="10"/>
  <c r="T24" i="10" s="1"/>
  <c r="L24" i="10"/>
  <c r="K24" i="10"/>
  <c r="M24" i="10" s="1"/>
  <c r="N24" i="10" s="1"/>
  <c r="F24" i="10"/>
  <c r="E24" i="10"/>
  <c r="D24" i="10"/>
  <c r="C24" i="10"/>
  <c r="B24" i="10"/>
  <c r="A24" i="10"/>
  <c r="S23" i="10"/>
  <c r="R23" i="10"/>
  <c r="Q23" i="10"/>
  <c r="P23" i="10"/>
  <c r="O23" i="10"/>
  <c r="T23" i="10" s="1"/>
  <c r="L23" i="10"/>
  <c r="K23" i="10"/>
  <c r="M23" i="10" s="1"/>
  <c r="N23" i="10" s="1"/>
  <c r="F23" i="10"/>
  <c r="E23" i="10"/>
  <c r="D23" i="10"/>
  <c r="C23" i="10"/>
  <c r="B23" i="10"/>
  <c r="A23" i="10"/>
  <c r="S22" i="10"/>
  <c r="R22" i="10"/>
  <c r="Q22" i="10"/>
  <c r="P22" i="10"/>
  <c r="O22" i="10"/>
  <c r="T22" i="10" s="1"/>
  <c r="L22" i="10"/>
  <c r="K22" i="10"/>
  <c r="M22" i="10" s="1"/>
  <c r="N22" i="10" s="1"/>
  <c r="F22" i="10"/>
  <c r="E22" i="10"/>
  <c r="D22" i="10"/>
  <c r="C22" i="10"/>
  <c r="B22" i="10"/>
  <c r="A22" i="10"/>
  <c r="S21" i="10"/>
  <c r="R21" i="10"/>
  <c r="Q21" i="10"/>
  <c r="P21" i="10"/>
  <c r="O21" i="10"/>
  <c r="T21" i="10" s="1"/>
  <c r="L21" i="10"/>
  <c r="K21" i="10"/>
  <c r="M21" i="10" s="1"/>
  <c r="N21" i="10" s="1"/>
  <c r="F21" i="10"/>
  <c r="E21" i="10"/>
  <c r="D21" i="10"/>
  <c r="C21" i="10"/>
  <c r="B21" i="10"/>
  <c r="A21" i="10"/>
  <c r="S20" i="10"/>
  <c r="R20" i="10"/>
  <c r="Q20" i="10"/>
  <c r="P20" i="10"/>
  <c r="O20" i="10"/>
  <c r="T20" i="10" s="1"/>
  <c r="L20" i="10"/>
  <c r="K20" i="10"/>
  <c r="M20" i="10" s="1"/>
  <c r="N20" i="10" s="1"/>
  <c r="F20" i="10"/>
  <c r="E20" i="10"/>
  <c r="D20" i="10"/>
  <c r="C20" i="10"/>
  <c r="B20" i="10"/>
  <c r="A20" i="10"/>
  <c r="S19" i="10"/>
  <c r="R19" i="10"/>
  <c r="Q19" i="10"/>
  <c r="P19" i="10"/>
  <c r="O19" i="10"/>
  <c r="T19" i="10" s="1"/>
  <c r="L19" i="10"/>
  <c r="K19" i="10"/>
  <c r="M19" i="10" s="1"/>
  <c r="N19" i="10" s="1"/>
  <c r="F19" i="10"/>
  <c r="E19" i="10"/>
  <c r="D19" i="10"/>
  <c r="C19" i="10"/>
  <c r="B19" i="10"/>
  <c r="A19" i="10"/>
  <c r="S18" i="10"/>
  <c r="R18" i="10"/>
  <c r="Q18" i="10"/>
  <c r="P18" i="10"/>
  <c r="O18" i="10"/>
  <c r="T18" i="10" s="1"/>
  <c r="L18" i="10"/>
  <c r="K18" i="10"/>
  <c r="M18" i="10" s="1"/>
  <c r="N18" i="10" s="1"/>
  <c r="F18" i="10"/>
  <c r="E18" i="10"/>
  <c r="D18" i="10"/>
  <c r="C18" i="10"/>
  <c r="B18" i="10"/>
  <c r="A18" i="10"/>
  <c r="S17" i="10"/>
  <c r="R17" i="10"/>
  <c r="Q17" i="10"/>
  <c r="P17" i="10"/>
  <c r="O17" i="10"/>
  <c r="T17" i="10" s="1"/>
  <c r="L17" i="10"/>
  <c r="K17" i="10"/>
  <c r="M17" i="10" s="1"/>
  <c r="N17" i="10" s="1"/>
  <c r="F17" i="10"/>
  <c r="E17" i="10"/>
  <c r="D17" i="10"/>
  <c r="C17" i="10"/>
  <c r="B17" i="10"/>
  <c r="A17" i="10"/>
  <c r="S16" i="10"/>
  <c r="R16" i="10"/>
  <c r="Q16" i="10"/>
  <c r="P16" i="10"/>
  <c r="O16" i="10"/>
  <c r="T16" i="10" s="1"/>
  <c r="L16" i="10"/>
  <c r="K16" i="10"/>
  <c r="M16" i="10" s="1"/>
  <c r="N16" i="10" s="1"/>
  <c r="F16" i="10"/>
  <c r="E16" i="10"/>
  <c r="D16" i="10"/>
  <c r="C16" i="10"/>
  <c r="B16" i="10"/>
  <c r="A16" i="10"/>
  <c r="S15" i="10"/>
  <c r="R15" i="10"/>
  <c r="Q15" i="10"/>
  <c r="P15" i="10"/>
  <c r="O15" i="10"/>
  <c r="T15" i="10" s="1"/>
  <c r="L15" i="10"/>
  <c r="K15" i="10"/>
  <c r="M15" i="10" s="1"/>
  <c r="N15" i="10" s="1"/>
  <c r="F15" i="10"/>
  <c r="E15" i="10"/>
  <c r="D15" i="10"/>
  <c r="C15" i="10"/>
  <c r="B15" i="10"/>
  <c r="A15" i="10"/>
  <c r="S14" i="10"/>
  <c r="R14" i="10"/>
  <c r="Q14" i="10"/>
  <c r="P14" i="10"/>
  <c r="O14" i="10"/>
  <c r="T14" i="10" s="1"/>
  <c r="L14" i="10"/>
  <c r="K14" i="10"/>
  <c r="M14" i="10" s="1"/>
  <c r="N14" i="10" s="1"/>
  <c r="F14" i="10"/>
  <c r="E14" i="10"/>
  <c r="D14" i="10"/>
  <c r="C14" i="10"/>
  <c r="B14" i="10"/>
  <c r="A14" i="10"/>
  <c r="S13" i="10"/>
  <c r="R13" i="10"/>
  <c r="Q13" i="10"/>
  <c r="P13" i="10"/>
  <c r="O13" i="10"/>
  <c r="T13" i="10" s="1"/>
  <c r="L13" i="10"/>
  <c r="K13" i="10"/>
  <c r="M13" i="10" s="1"/>
  <c r="N13" i="10" s="1"/>
  <c r="F13" i="10"/>
  <c r="E13" i="10"/>
  <c r="D13" i="10"/>
  <c r="C13" i="10"/>
  <c r="B13" i="10"/>
  <c r="A13" i="10"/>
  <c r="S12" i="10"/>
  <c r="R12" i="10"/>
  <c r="Q12" i="10"/>
  <c r="P12" i="10"/>
  <c r="O12" i="10"/>
  <c r="T12" i="10" s="1"/>
  <c r="L12" i="10"/>
  <c r="K12" i="10"/>
  <c r="M12" i="10" s="1"/>
  <c r="N12" i="10" s="1"/>
  <c r="F12" i="10"/>
  <c r="E12" i="10"/>
  <c r="D12" i="10"/>
  <c r="C12" i="10"/>
  <c r="B12" i="10"/>
  <c r="A12" i="10"/>
  <c r="S11" i="10"/>
  <c r="R11" i="10"/>
  <c r="Q11" i="10"/>
  <c r="P11" i="10"/>
  <c r="O11" i="10"/>
  <c r="T11" i="10" s="1"/>
  <c r="L11" i="10"/>
  <c r="K11" i="10"/>
  <c r="M11" i="10" s="1"/>
  <c r="N11" i="10" s="1"/>
  <c r="F11" i="10"/>
  <c r="E11" i="10"/>
  <c r="D11" i="10"/>
  <c r="C11" i="10"/>
  <c r="B11" i="10"/>
  <c r="A11" i="10"/>
  <c r="AA7" i="10"/>
  <c r="P7" i="10"/>
  <c r="J7" i="10"/>
  <c r="S60" i="9"/>
  <c r="R60" i="9"/>
  <c r="Q60" i="9"/>
  <c r="P60" i="9"/>
  <c r="O60" i="9"/>
  <c r="T60" i="9" s="1"/>
  <c r="L60" i="9"/>
  <c r="K60" i="9"/>
  <c r="M60" i="9" s="1"/>
  <c r="N60" i="9" s="1"/>
  <c r="F60" i="9"/>
  <c r="E60" i="9"/>
  <c r="D60" i="9"/>
  <c r="C60" i="9"/>
  <c r="B60" i="9"/>
  <c r="A60" i="9"/>
  <c r="S59" i="9"/>
  <c r="R59" i="9"/>
  <c r="Q59" i="9"/>
  <c r="P59" i="9"/>
  <c r="O59" i="9"/>
  <c r="T59" i="9" s="1"/>
  <c r="L59" i="9"/>
  <c r="K59" i="9"/>
  <c r="M59" i="9" s="1"/>
  <c r="N59" i="9" s="1"/>
  <c r="F59" i="9"/>
  <c r="E59" i="9"/>
  <c r="D59" i="9"/>
  <c r="C59" i="9"/>
  <c r="B59" i="9"/>
  <c r="A59" i="9"/>
  <c r="S58" i="9"/>
  <c r="R58" i="9"/>
  <c r="Q58" i="9"/>
  <c r="P58" i="9"/>
  <c r="O58" i="9"/>
  <c r="T58" i="9" s="1"/>
  <c r="L58" i="9"/>
  <c r="K58" i="9"/>
  <c r="M58" i="9" s="1"/>
  <c r="N58" i="9" s="1"/>
  <c r="F58" i="9"/>
  <c r="E58" i="9"/>
  <c r="D58" i="9"/>
  <c r="C58" i="9"/>
  <c r="B58" i="9"/>
  <c r="A58" i="9"/>
  <c r="S57" i="9"/>
  <c r="R57" i="9"/>
  <c r="Q57" i="9"/>
  <c r="P57" i="9"/>
  <c r="O57" i="9"/>
  <c r="T57" i="9" s="1"/>
  <c r="L57" i="9"/>
  <c r="K57" i="9"/>
  <c r="M57" i="9" s="1"/>
  <c r="N57" i="9" s="1"/>
  <c r="F57" i="9"/>
  <c r="E57" i="9"/>
  <c r="D57" i="9"/>
  <c r="C57" i="9"/>
  <c r="B57" i="9"/>
  <c r="A57" i="9"/>
  <c r="S56" i="9"/>
  <c r="R56" i="9"/>
  <c r="Q56" i="9"/>
  <c r="P56" i="9"/>
  <c r="O56" i="9"/>
  <c r="T56" i="9" s="1"/>
  <c r="L56" i="9"/>
  <c r="K56" i="9"/>
  <c r="M56" i="9" s="1"/>
  <c r="N56" i="9" s="1"/>
  <c r="F56" i="9"/>
  <c r="E56" i="9"/>
  <c r="D56" i="9"/>
  <c r="C56" i="9"/>
  <c r="B56" i="9"/>
  <c r="A56" i="9"/>
  <c r="S55" i="9"/>
  <c r="R55" i="9"/>
  <c r="Q55" i="9"/>
  <c r="P55" i="9"/>
  <c r="O55" i="9"/>
  <c r="T55" i="9" s="1"/>
  <c r="L55" i="9"/>
  <c r="K55" i="9"/>
  <c r="M55" i="9" s="1"/>
  <c r="N55" i="9" s="1"/>
  <c r="F55" i="9"/>
  <c r="E55" i="9"/>
  <c r="D55" i="9"/>
  <c r="C55" i="9"/>
  <c r="B55" i="9"/>
  <c r="A55" i="9"/>
  <c r="S54" i="9"/>
  <c r="R54" i="9"/>
  <c r="Q54" i="9"/>
  <c r="P54" i="9"/>
  <c r="O54" i="9"/>
  <c r="T54" i="9" s="1"/>
  <c r="L54" i="9"/>
  <c r="K54" i="9"/>
  <c r="M54" i="9" s="1"/>
  <c r="N54" i="9" s="1"/>
  <c r="F54" i="9"/>
  <c r="E54" i="9"/>
  <c r="D54" i="9"/>
  <c r="C54" i="9"/>
  <c r="B54" i="9"/>
  <c r="A54" i="9"/>
  <c r="S53" i="9"/>
  <c r="R53" i="9"/>
  <c r="Q53" i="9"/>
  <c r="P53" i="9"/>
  <c r="O53" i="9"/>
  <c r="T53" i="9" s="1"/>
  <c r="L53" i="9"/>
  <c r="K53" i="9"/>
  <c r="M53" i="9" s="1"/>
  <c r="N53" i="9" s="1"/>
  <c r="F53" i="9"/>
  <c r="E53" i="9"/>
  <c r="D53" i="9"/>
  <c r="C53" i="9"/>
  <c r="B53" i="9"/>
  <c r="A53" i="9"/>
  <c r="S52" i="9"/>
  <c r="R52" i="9"/>
  <c r="Q52" i="9"/>
  <c r="P52" i="9"/>
  <c r="O52" i="9"/>
  <c r="T52" i="9" s="1"/>
  <c r="L52" i="9"/>
  <c r="K52" i="9"/>
  <c r="M52" i="9" s="1"/>
  <c r="N52" i="9" s="1"/>
  <c r="F52" i="9"/>
  <c r="E52" i="9"/>
  <c r="D52" i="9"/>
  <c r="C52" i="9"/>
  <c r="B52" i="9"/>
  <c r="A52" i="9"/>
  <c r="S51" i="9"/>
  <c r="R51" i="9"/>
  <c r="Q51" i="9"/>
  <c r="P51" i="9"/>
  <c r="O51" i="9"/>
  <c r="T51" i="9" s="1"/>
  <c r="L51" i="9"/>
  <c r="K51" i="9"/>
  <c r="M51" i="9" s="1"/>
  <c r="N51" i="9" s="1"/>
  <c r="F51" i="9"/>
  <c r="E51" i="9"/>
  <c r="D51" i="9"/>
  <c r="C51" i="9"/>
  <c r="B51" i="9"/>
  <c r="A51" i="9"/>
  <c r="S50" i="9"/>
  <c r="R50" i="9"/>
  <c r="Q50" i="9"/>
  <c r="P50" i="9"/>
  <c r="O50" i="9"/>
  <c r="T50" i="9" s="1"/>
  <c r="L50" i="9"/>
  <c r="K50" i="9"/>
  <c r="M50" i="9" s="1"/>
  <c r="N50" i="9" s="1"/>
  <c r="F50" i="9"/>
  <c r="E50" i="9"/>
  <c r="D50" i="9"/>
  <c r="C50" i="9"/>
  <c r="B50" i="9"/>
  <c r="A50" i="9"/>
  <c r="S49" i="9"/>
  <c r="R49" i="9"/>
  <c r="Q49" i="9"/>
  <c r="P49" i="9"/>
  <c r="O49" i="9"/>
  <c r="T49" i="9" s="1"/>
  <c r="L49" i="9"/>
  <c r="K49" i="9"/>
  <c r="M49" i="9" s="1"/>
  <c r="N49" i="9" s="1"/>
  <c r="F49" i="9"/>
  <c r="E49" i="9"/>
  <c r="D49" i="9"/>
  <c r="C49" i="9"/>
  <c r="B49" i="9"/>
  <c r="A49" i="9"/>
  <c r="S48" i="9"/>
  <c r="R48" i="9"/>
  <c r="Q48" i="9"/>
  <c r="P48" i="9"/>
  <c r="O48" i="9"/>
  <c r="T48" i="9" s="1"/>
  <c r="L48" i="9"/>
  <c r="K48" i="9"/>
  <c r="M48" i="9" s="1"/>
  <c r="N48" i="9" s="1"/>
  <c r="F48" i="9"/>
  <c r="E48" i="9"/>
  <c r="D48" i="9"/>
  <c r="C48" i="9"/>
  <c r="B48" i="9"/>
  <c r="A48" i="9"/>
  <c r="S47" i="9"/>
  <c r="R47" i="9"/>
  <c r="Q47" i="9"/>
  <c r="P47" i="9"/>
  <c r="O47" i="9"/>
  <c r="T47" i="9" s="1"/>
  <c r="L47" i="9"/>
  <c r="K47" i="9"/>
  <c r="M47" i="9" s="1"/>
  <c r="N47" i="9" s="1"/>
  <c r="F47" i="9"/>
  <c r="E47" i="9"/>
  <c r="D47" i="9"/>
  <c r="C47" i="9"/>
  <c r="B47" i="9"/>
  <c r="A47" i="9"/>
  <c r="S46" i="9"/>
  <c r="R46" i="9"/>
  <c r="Q46" i="9"/>
  <c r="P46" i="9"/>
  <c r="O46" i="9"/>
  <c r="T46" i="9" s="1"/>
  <c r="L46" i="9"/>
  <c r="K46" i="9"/>
  <c r="M46" i="9" s="1"/>
  <c r="N46" i="9" s="1"/>
  <c r="F46" i="9"/>
  <c r="E46" i="9"/>
  <c r="D46" i="9"/>
  <c r="C46" i="9"/>
  <c r="B46" i="9"/>
  <c r="A46" i="9"/>
  <c r="S45" i="9"/>
  <c r="R45" i="9"/>
  <c r="Q45" i="9"/>
  <c r="P45" i="9"/>
  <c r="O45" i="9"/>
  <c r="T45" i="9" s="1"/>
  <c r="L45" i="9"/>
  <c r="K45" i="9"/>
  <c r="M45" i="9" s="1"/>
  <c r="N45" i="9" s="1"/>
  <c r="F45" i="9"/>
  <c r="E45" i="9"/>
  <c r="D45" i="9"/>
  <c r="C45" i="9"/>
  <c r="B45" i="9"/>
  <c r="A45" i="9"/>
  <c r="S44" i="9"/>
  <c r="R44" i="9"/>
  <c r="Q44" i="9"/>
  <c r="P44" i="9"/>
  <c r="O44" i="9"/>
  <c r="T44" i="9" s="1"/>
  <c r="L44" i="9"/>
  <c r="K44" i="9"/>
  <c r="M44" i="9" s="1"/>
  <c r="N44" i="9" s="1"/>
  <c r="F44" i="9"/>
  <c r="E44" i="9"/>
  <c r="D44" i="9"/>
  <c r="C44" i="9"/>
  <c r="B44" i="9"/>
  <c r="A44" i="9"/>
  <c r="S43" i="9"/>
  <c r="R43" i="9"/>
  <c r="Q43" i="9"/>
  <c r="P43" i="9"/>
  <c r="O43" i="9"/>
  <c r="T43" i="9" s="1"/>
  <c r="L43" i="9"/>
  <c r="K43" i="9"/>
  <c r="M43" i="9" s="1"/>
  <c r="N43" i="9" s="1"/>
  <c r="F43" i="9"/>
  <c r="E43" i="9"/>
  <c r="D43" i="9"/>
  <c r="C43" i="9"/>
  <c r="B43" i="9"/>
  <c r="A43" i="9"/>
  <c r="S42" i="9"/>
  <c r="R42" i="9"/>
  <c r="Q42" i="9"/>
  <c r="P42" i="9"/>
  <c r="O42" i="9"/>
  <c r="T42" i="9" s="1"/>
  <c r="L42" i="9"/>
  <c r="K42" i="9"/>
  <c r="M42" i="9" s="1"/>
  <c r="N42" i="9" s="1"/>
  <c r="F42" i="9"/>
  <c r="E42" i="9"/>
  <c r="D42" i="9"/>
  <c r="C42" i="9"/>
  <c r="B42" i="9"/>
  <c r="A42" i="9"/>
  <c r="S41" i="9"/>
  <c r="R41" i="9"/>
  <c r="Q41" i="9"/>
  <c r="P41" i="9"/>
  <c r="O41" i="9"/>
  <c r="T41" i="9" s="1"/>
  <c r="L41" i="9"/>
  <c r="K41" i="9"/>
  <c r="M41" i="9" s="1"/>
  <c r="N41" i="9" s="1"/>
  <c r="F41" i="9"/>
  <c r="E41" i="9"/>
  <c r="D41" i="9"/>
  <c r="C41" i="9"/>
  <c r="B41" i="9"/>
  <c r="A41" i="9"/>
  <c r="S40" i="9"/>
  <c r="R40" i="9"/>
  <c r="Q40" i="9"/>
  <c r="P40" i="9"/>
  <c r="O40" i="9"/>
  <c r="T40" i="9" s="1"/>
  <c r="L40" i="9"/>
  <c r="K40" i="9"/>
  <c r="M40" i="9" s="1"/>
  <c r="N40" i="9" s="1"/>
  <c r="F40" i="9"/>
  <c r="E40" i="9"/>
  <c r="D40" i="9"/>
  <c r="C40" i="9"/>
  <c r="B40" i="9"/>
  <c r="A40" i="9"/>
  <c r="S39" i="9"/>
  <c r="R39" i="9"/>
  <c r="Q39" i="9"/>
  <c r="P39" i="9"/>
  <c r="O39" i="9"/>
  <c r="T39" i="9" s="1"/>
  <c r="L39" i="9"/>
  <c r="K39" i="9"/>
  <c r="M39" i="9" s="1"/>
  <c r="N39" i="9" s="1"/>
  <c r="F39" i="9"/>
  <c r="E39" i="9"/>
  <c r="D39" i="9"/>
  <c r="C39" i="9"/>
  <c r="B39" i="9"/>
  <c r="A39" i="9"/>
  <c r="S38" i="9"/>
  <c r="R38" i="9"/>
  <c r="Q38" i="9"/>
  <c r="P38" i="9"/>
  <c r="O38" i="9"/>
  <c r="T38" i="9" s="1"/>
  <c r="L38" i="9"/>
  <c r="K38" i="9"/>
  <c r="M38" i="9" s="1"/>
  <c r="N38" i="9" s="1"/>
  <c r="F38" i="9"/>
  <c r="E38" i="9"/>
  <c r="D38" i="9"/>
  <c r="C38" i="9"/>
  <c r="B38" i="9"/>
  <c r="A38" i="9"/>
  <c r="S37" i="9"/>
  <c r="R37" i="9"/>
  <c r="Q37" i="9"/>
  <c r="P37" i="9"/>
  <c r="O37" i="9"/>
  <c r="T37" i="9" s="1"/>
  <c r="L37" i="9"/>
  <c r="K37" i="9"/>
  <c r="M37" i="9" s="1"/>
  <c r="N37" i="9" s="1"/>
  <c r="F37" i="9"/>
  <c r="E37" i="9"/>
  <c r="D37" i="9"/>
  <c r="C37" i="9"/>
  <c r="B37" i="9"/>
  <c r="A37" i="9"/>
  <c r="S36" i="9"/>
  <c r="R36" i="9"/>
  <c r="Q36" i="9"/>
  <c r="P36" i="9"/>
  <c r="O36" i="9"/>
  <c r="T36" i="9" s="1"/>
  <c r="L36" i="9"/>
  <c r="K36" i="9"/>
  <c r="M36" i="9" s="1"/>
  <c r="N36" i="9" s="1"/>
  <c r="F36" i="9"/>
  <c r="E36" i="9"/>
  <c r="D36" i="9"/>
  <c r="C36" i="9"/>
  <c r="B36" i="9"/>
  <c r="A36" i="9"/>
  <c r="S35" i="9"/>
  <c r="R35" i="9"/>
  <c r="Q35" i="9"/>
  <c r="P35" i="9"/>
  <c r="O35" i="9"/>
  <c r="T35" i="9" s="1"/>
  <c r="L35" i="9"/>
  <c r="K35" i="9"/>
  <c r="M35" i="9" s="1"/>
  <c r="N35" i="9" s="1"/>
  <c r="F35" i="9"/>
  <c r="E35" i="9"/>
  <c r="D35" i="9"/>
  <c r="C35" i="9"/>
  <c r="B35" i="9"/>
  <c r="A35" i="9"/>
  <c r="S34" i="9"/>
  <c r="R34" i="9"/>
  <c r="Q34" i="9"/>
  <c r="P34" i="9"/>
  <c r="O34" i="9"/>
  <c r="T34" i="9" s="1"/>
  <c r="L34" i="9"/>
  <c r="K34" i="9"/>
  <c r="M34" i="9" s="1"/>
  <c r="N34" i="9" s="1"/>
  <c r="F34" i="9"/>
  <c r="E34" i="9"/>
  <c r="D34" i="9"/>
  <c r="C34" i="9"/>
  <c r="B34" i="9"/>
  <c r="A34" i="9"/>
  <c r="S33" i="9"/>
  <c r="R33" i="9"/>
  <c r="Q33" i="9"/>
  <c r="P33" i="9"/>
  <c r="O33" i="9"/>
  <c r="T33" i="9" s="1"/>
  <c r="L33" i="9"/>
  <c r="K33" i="9"/>
  <c r="M33" i="9" s="1"/>
  <c r="N33" i="9" s="1"/>
  <c r="F33" i="9"/>
  <c r="E33" i="9"/>
  <c r="D33" i="9"/>
  <c r="C33" i="9"/>
  <c r="B33" i="9"/>
  <c r="A33" i="9"/>
  <c r="S32" i="9"/>
  <c r="R32" i="9"/>
  <c r="Q32" i="9"/>
  <c r="P32" i="9"/>
  <c r="O32" i="9"/>
  <c r="T32" i="9" s="1"/>
  <c r="L32" i="9"/>
  <c r="K32" i="9"/>
  <c r="M32" i="9" s="1"/>
  <c r="N32" i="9" s="1"/>
  <c r="F32" i="9"/>
  <c r="E32" i="9"/>
  <c r="D32" i="9"/>
  <c r="C32" i="9"/>
  <c r="B32" i="9"/>
  <c r="A32" i="9"/>
  <c r="S31" i="9"/>
  <c r="R31" i="9"/>
  <c r="Q31" i="9"/>
  <c r="P31" i="9"/>
  <c r="O31" i="9"/>
  <c r="T31" i="9" s="1"/>
  <c r="L31" i="9"/>
  <c r="K31" i="9"/>
  <c r="M31" i="9" s="1"/>
  <c r="N31" i="9" s="1"/>
  <c r="F31" i="9"/>
  <c r="E31" i="9"/>
  <c r="D31" i="9"/>
  <c r="C31" i="9"/>
  <c r="B31" i="9"/>
  <c r="A31" i="9"/>
  <c r="S30" i="9"/>
  <c r="R30" i="9"/>
  <c r="Q30" i="9"/>
  <c r="P30" i="9"/>
  <c r="O30" i="9"/>
  <c r="T30" i="9" s="1"/>
  <c r="L30" i="9"/>
  <c r="K30" i="9"/>
  <c r="M30" i="9" s="1"/>
  <c r="N30" i="9" s="1"/>
  <c r="F30" i="9"/>
  <c r="E30" i="9"/>
  <c r="D30" i="9"/>
  <c r="C30" i="9"/>
  <c r="B30" i="9"/>
  <c r="A30" i="9"/>
  <c r="S29" i="9"/>
  <c r="R29" i="9"/>
  <c r="Q29" i="9"/>
  <c r="P29" i="9"/>
  <c r="O29" i="9"/>
  <c r="T29" i="9" s="1"/>
  <c r="L29" i="9"/>
  <c r="K29" i="9"/>
  <c r="M29" i="9" s="1"/>
  <c r="N29" i="9" s="1"/>
  <c r="F29" i="9"/>
  <c r="E29" i="9"/>
  <c r="D29" i="9"/>
  <c r="C29" i="9"/>
  <c r="B29" i="9"/>
  <c r="A29" i="9"/>
  <c r="S28" i="9"/>
  <c r="R28" i="9"/>
  <c r="Q28" i="9"/>
  <c r="P28" i="9"/>
  <c r="O28" i="9"/>
  <c r="T28" i="9" s="1"/>
  <c r="L28" i="9"/>
  <c r="K28" i="9"/>
  <c r="M28" i="9" s="1"/>
  <c r="N28" i="9" s="1"/>
  <c r="F28" i="9"/>
  <c r="E28" i="9"/>
  <c r="D28" i="9"/>
  <c r="C28" i="9"/>
  <c r="B28" i="9"/>
  <c r="A28" i="9"/>
  <c r="S27" i="9"/>
  <c r="R27" i="9"/>
  <c r="Q27" i="9"/>
  <c r="P27" i="9"/>
  <c r="O27" i="9"/>
  <c r="T27" i="9" s="1"/>
  <c r="L27" i="9"/>
  <c r="K27" i="9"/>
  <c r="M27" i="9" s="1"/>
  <c r="N27" i="9" s="1"/>
  <c r="F27" i="9"/>
  <c r="E27" i="9"/>
  <c r="D27" i="9"/>
  <c r="C27" i="9"/>
  <c r="B27" i="9"/>
  <c r="A27" i="9"/>
  <c r="S26" i="9"/>
  <c r="R26" i="9"/>
  <c r="Q26" i="9"/>
  <c r="P26" i="9"/>
  <c r="O26" i="9"/>
  <c r="T26" i="9" s="1"/>
  <c r="L26" i="9"/>
  <c r="K26" i="9"/>
  <c r="M26" i="9" s="1"/>
  <c r="N26" i="9" s="1"/>
  <c r="F26" i="9"/>
  <c r="E26" i="9"/>
  <c r="D26" i="9"/>
  <c r="C26" i="9"/>
  <c r="B26" i="9"/>
  <c r="A26" i="9"/>
  <c r="S25" i="9"/>
  <c r="R25" i="9"/>
  <c r="Q25" i="9"/>
  <c r="P25" i="9"/>
  <c r="O25" i="9"/>
  <c r="T25" i="9" s="1"/>
  <c r="L25" i="9"/>
  <c r="K25" i="9"/>
  <c r="M25" i="9" s="1"/>
  <c r="N25" i="9" s="1"/>
  <c r="F25" i="9"/>
  <c r="E25" i="9"/>
  <c r="D25" i="9"/>
  <c r="C25" i="9"/>
  <c r="B25" i="9"/>
  <c r="A25" i="9"/>
  <c r="S24" i="9"/>
  <c r="R24" i="9"/>
  <c r="Q24" i="9"/>
  <c r="P24" i="9"/>
  <c r="O24" i="9"/>
  <c r="T24" i="9" s="1"/>
  <c r="L24" i="9"/>
  <c r="K24" i="9"/>
  <c r="M24" i="9" s="1"/>
  <c r="N24" i="9" s="1"/>
  <c r="F24" i="9"/>
  <c r="E24" i="9"/>
  <c r="D24" i="9"/>
  <c r="C24" i="9"/>
  <c r="B24" i="9"/>
  <c r="A24" i="9"/>
  <c r="S23" i="9"/>
  <c r="R23" i="9"/>
  <c r="Q23" i="9"/>
  <c r="P23" i="9"/>
  <c r="O23" i="9"/>
  <c r="T23" i="9" s="1"/>
  <c r="L23" i="9"/>
  <c r="K23" i="9"/>
  <c r="M23" i="9" s="1"/>
  <c r="N23" i="9" s="1"/>
  <c r="F23" i="9"/>
  <c r="E23" i="9"/>
  <c r="D23" i="9"/>
  <c r="C23" i="9"/>
  <c r="B23" i="9"/>
  <c r="A23" i="9"/>
  <c r="S22" i="9"/>
  <c r="R22" i="9"/>
  <c r="Q22" i="9"/>
  <c r="P22" i="9"/>
  <c r="O22" i="9"/>
  <c r="T22" i="9" s="1"/>
  <c r="L22" i="9"/>
  <c r="K22" i="9"/>
  <c r="M22" i="9" s="1"/>
  <c r="N22" i="9" s="1"/>
  <c r="F22" i="9"/>
  <c r="E22" i="9"/>
  <c r="D22" i="9"/>
  <c r="C22" i="9"/>
  <c r="B22" i="9"/>
  <c r="A22" i="9"/>
  <c r="S21" i="9"/>
  <c r="R21" i="9"/>
  <c r="Q21" i="9"/>
  <c r="P21" i="9"/>
  <c r="O21" i="9"/>
  <c r="T21" i="9" s="1"/>
  <c r="L21" i="9"/>
  <c r="K21" i="9"/>
  <c r="M21" i="9" s="1"/>
  <c r="N21" i="9" s="1"/>
  <c r="F21" i="9"/>
  <c r="E21" i="9"/>
  <c r="D21" i="9"/>
  <c r="C21" i="9"/>
  <c r="B21" i="9"/>
  <c r="A21" i="9"/>
  <c r="S20" i="9"/>
  <c r="R20" i="9"/>
  <c r="Q20" i="9"/>
  <c r="P20" i="9"/>
  <c r="O20" i="9"/>
  <c r="T20" i="9" s="1"/>
  <c r="L20" i="9"/>
  <c r="K20" i="9"/>
  <c r="M20" i="9" s="1"/>
  <c r="N20" i="9" s="1"/>
  <c r="F20" i="9"/>
  <c r="E20" i="9"/>
  <c r="D20" i="9"/>
  <c r="C20" i="9"/>
  <c r="B20" i="9"/>
  <c r="A20" i="9"/>
  <c r="S19" i="9"/>
  <c r="R19" i="9"/>
  <c r="Q19" i="9"/>
  <c r="P19" i="9"/>
  <c r="O19" i="9"/>
  <c r="T19" i="9" s="1"/>
  <c r="L19" i="9"/>
  <c r="K19" i="9"/>
  <c r="M19" i="9" s="1"/>
  <c r="N19" i="9" s="1"/>
  <c r="F19" i="9"/>
  <c r="E19" i="9"/>
  <c r="D19" i="9"/>
  <c r="C19" i="9"/>
  <c r="B19" i="9"/>
  <c r="A19" i="9"/>
  <c r="S18" i="9"/>
  <c r="R18" i="9"/>
  <c r="Q18" i="9"/>
  <c r="P18" i="9"/>
  <c r="O18" i="9"/>
  <c r="T18" i="9" s="1"/>
  <c r="L18" i="9"/>
  <c r="K18" i="9"/>
  <c r="M18" i="9" s="1"/>
  <c r="N18" i="9" s="1"/>
  <c r="F18" i="9"/>
  <c r="E18" i="9"/>
  <c r="D18" i="9"/>
  <c r="C18" i="9"/>
  <c r="B18" i="9"/>
  <c r="A18" i="9"/>
  <c r="S17" i="9"/>
  <c r="R17" i="9"/>
  <c r="Q17" i="9"/>
  <c r="P17" i="9"/>
  <c r="O17" i="9"/>
  <c r="T17" i="9" s="1"/>
  <c r="L17" i="9"/>
  <c r="K17" i="9"/>
  <c r="M17" i="9" s="1"/>
  <c r="N17" i="9" s="1"/>
  <c r="F17" i="9"/>
  <c r="E17" i="9"/>
  <c r="D17" i="9"/>
  <c r="C17" i="9"/>
  <c r="B17" i="9"/>
  <c r="A17" i="9"/>
  <c r="S16" i="9"/>
  <c r="R16" i="9"/>
  <c r="Q16" i="9"/>
  <c r="P16" i="9"/>
  <c r="O16" i="9"/>
  <c r="T16" i="9" s="1"/>
  <c r="L16" i="9"/>
  <c r="K16" i="9"/>
  <c r="M16" i="9" s="1"/>
  <c r="N16" i="9" s="1"/>
  <c r="F16" i="9"/>
  <c r="E16" i="9"/>
  <c r="D16" i="9"/>
  <c r="C16" i="9"/>
  <c r="B16" i="9"/>
  <c r="A16" i="9"/>
  <c r="S15" i="9"/>
  <c r="R15" i="9"/>
  <c r="Q15" i="9"/>
  <c r="P15" i="9"/>
  <c r="O15" i="9"/>
  <c r="T15" i="9" s="1"/>
  <c r="L15" i="9"/>
  <c r="K15" i="9"/>
  <c r="M15" i="9" s="1"/>
  <c r="N15" i="9" s="1"/>
  <c r="F15" i="9"/>
  <c r="E15" i="9"/>
  <c r="D15" i="9"/>
  <c r="C15" i="9"/>
  <c r="B15" i="9"/>
  <c r="A15" i="9"/>
  <c r="S14" i="9"/>
  <c r="R14" i="9"/>
  <c r="Q14" i="9"/>
  <c r="P14" i="9"/>
  <c r="O14" i="9"/>
  <c r="T14" i="9" s="1"/>
  <c r="L14" i="9"/>
  <c r="K14" i="9"/>
  <c r="M14" i="9" s="1"/>
  <c r="N14" i="9" s="1"/>
  <c r="F14" i="9"/>
  <c r="E14" i="9"/>
  <c r="D14" i="9"/>
  <c r="C14" i="9"/>
  <c r="B14" i="9"/>
  <c r="A14" i="9"/>
  <c r="S13" i="9"/>
  <c r="R13" i="9"/>
  <c r="Q13" i="9"/>
  <c r="P13" i="9"/>
  <c r="O13" i="9"/>
  <c r="T13" i="9" s="1"/>
  <c r="L13" i="9"/>
  <c r="K13" i="9"/>
  <c r="M13" i="9" s="1"/>
  <c r="N13" i="9" s="1"/>
  <c r="F13" i="9"/>
  <c r="E13" i="9"/>
  <c r="D13" i="9"/>
  <c r="C13" i="9"/>
  <c r="B13" i="9"/>
  <c r="A13" i="9"/>
  <c r="S12" i="9"/>
  <c r="R12" i="9"/>
  <c r="Q12" i="9"/>
  <c r="P12" i="9"/>
  <c r="O12" i="9"/>
  <c r="T12" i="9" s="1"/>
  <c r="L12" i="9"/>
  <c r="K12" i="9"/>
  <c r="M12" i="9" s="1"/>
  <c r="N12" i="9" s="1"/>
  <c r="F12" i="9"/>
  <c r="E12" i="9"/>
  <c r="D12" i="9"/>
  <c r="C12" i="9"/>
  <c r="B12" i="9"/>
  <c r="A12" i="9"/>
  <c r="S11" i="9"/>
  <c r="R11" i="9"/>
  <c r="Q11" i="9"/>
  <c r="P11" i="9"/>
  <c r="O11" i="9"/>
  <c r="T11" i="9" s="1"/>
  <c r="L11" i="9"/>
  <c r="K11" i="9"/>
  <c r="M11" i="9" s="1"/>
  <c r="N11" i="9" s="1"/>
  <c r="F11" i="9"/>
  <c r="E11" i="9"/>
  <c r="D11" i="9"/>
  <c r="C11" i="9"/>
  <c r="B11" i="9"/>
  <c r="A11" i="9"/>
  <c r="AA7" i="9"/>
  <c r="P7" i="9"/>
  <c r="J7" i="9"/>
  <c r="AA7" i="7"/>
  <c r="F45" i="6"/>
  <c r="G45" i="6" s="1"/>
  <c r="F44" i="6"/>
  <c r="G44" i="6" s="1"/>
  <c r="F43" i="6"/>
  <c r="G43" i="6" s="1"/>
  <c r="F42" i="6"/>
  <c r="G42" i="6" s="1"/>
  <c r="F41" i="6"/>
  <c r="G41" i="6" s="1"/>
  <c r="F40" i="6"/>
  <c r="G40" i="6" s="1"/>
  <c r="F39" i="6"/>
  <c r="G39" i="6" s="1"/>
  <c r="F38" i="6"/>
  <c r="G38" i="6" s="1"/>
  <c r="F37" i="6"/>
  <c r="G37" i="6" s="1"/>
  <c r="F36" i="6"/>
  <c r="G36" i="6" s="1"/>
  <c r="F35" i="6"/>
  <c r="G35" i="6" s="1"/>
  <c r="F34" i="6"/>
  <c r="G34" i="6" s="1"/>
  <c r="F33" i="6"/>
  <c r="G33" i="6" s="1"/>
  <c r="F32" i="6"/>
  <c r="G32" i="6" s="1"/>
  <c r="F31" i="6"/>
  <c r="G31" i="6" s="1"/>
  <c r="F30" i="6"/>
  <c r="G30" i="6" s="1"/>
  <c r="F29" i="6"/>
  <c r="G29" i="6" s="1"/>
  <c r="F28" i="6"/>
  <c r="G28" i="6" s="1"/>
  <c r="F27" i="6"/>
  <c r="G27" i="6" s="1"/>
  <c r="F26" i="6"/>
  <c r="G26" i="6" s="1"/>
  <c r="F25" i="6"/>
  <c r="G25" i="6" s="1"/>
  <c r="F24" i="6"/>
  <c r="G24" i="6" s="1"/>
  <c r="F23" i="6"/>
  <c r="G23" i="6" s="1"/>
  <c r="F22" i="6"/>
  <c r="G22" i="6" s="1"/>
  <c r="F21" i="6"/>
  <c r="G21" i="6" s="1"/>
  <c r="D18" i="6"/>
  <c r="D17" i="6"/>
  <c r="D16" i="6"/>
  <c r="D15" i="6"/>
  <c r="D14" i="6"/>
  <c r="G13" i="6"/>
  <c r="F13" i="6"/>
  <c r="E13" i="6"/>
  <c r="D13" i="6"/>
  <c r="G12" i="6"/>
  <c r="F12" i="6"/>
  <c r="E12" i="6"/>
  <c r="D12" i="6"/>
  <c r="G11" i="6"/>
  <c r="F11" i="6"/>
  <c r="E11" i="6"/>
  <c r="D11" i="6"/>
  <c r="G10" i="6"/>
  <c r="F10" i="6"/>
  <c r="E10" i="6"/>
  <c r="D10" i="6"/>
  <c r="G9" i="6"/>
  <c r="F9" i="6"/>
  <c r="E9" i="6"/>
  <c r="D9" i="6"/>
  <c r="G8" i="6"/>
  <c r="F8" i="6"/>
  <c r="E8" i="6"/>
  <c r="D8" i="6"/>
  <c r="G7" i="6"/>
  <c r="F7" i="6"/>
  <c r="E7" i="6"/>
  <c r="D7" i="6"/>
  <c r="C7" i="6"/>
  <c r="G6" i="6"/>
  <c r="F6" i="6"/>
  <c r="E6" i="6"/>
  <c r="D6" i="6"/>
  <c r="C6" i="6"/>
  <c r="G5" i="6"/>
  <c r="F5" i="6"/>
  <c r="E5" i="6"/>
  <c r="D5" i="6"/>
  <c r="C5" i="6"/>
  <c r="G4" i="6"/>
  <c r="F4" i="6"/>
  <c r="E4" i="6"/>
  <c r="D4" i="6"/>
  <c r="C4" i="6"/>
  <c r="G3" i="6"/>
  <c r="F3" i="6"/>
  <c r="E3" i="6"/>
  <c r="D3" i="6"/>
  <c r="C3" i="6"/>
  <c r="L39" i="4"/>
  <c r="J39" i="4"/>
  <c r="H39" i="4"/>
  <c r="F39" i="4"/>
  <c r="L37" i="4"/>
  <c r="J37" i="4"/>
  <c r="H37" i="4"/>
  <c r="F37" i="4"/>
  <c r="L24" i="4"/>
  <c r="J24" i="4"/>
  <c r="H24" i="4"/>
  <c r="F24" i="4"/>
  <c r="L21" i="4"/>
  <c r="J21" i="4"/>
  <c r="H21" i="4"/>
  <c r="F21" i="4"/>
  <c r="L19" i="4"/>
  <c r="J19" i="4"/>
  <c r="H19" i="4"/>
  <c r="F19" i="4"/>
  <c r="U13" i="10" l="1"/>
  <c r="W22" i="10"/>
  <c r="X22" i="10" s="1"/>
  <c r="Y22" i="10" s="1"/>
  <c r="U51" i="10"/>
  <c r="U20" i="9"/>
  <c r="U14" i="9"/>
  <c r="U23" i="10"/>
  <c r="V37" i="10"/>
  <c r="U47" i="10"/>
  <c r="W17" i="9"/>
  <c r="X17" i="9" s="1"/>
  <c r="Y17" i="9" s="1"/>
  <c r="W30" i="9"/>
  <c r="X30" i="9" s="1"/>
  <c r="Y30" i="9" s="1"/>
  <c r="U44" i="9"/>
  <c r="Z44" i="9" s="1"/>
  <c r="AA44" i="9" s="1"/>
  <c r="U13" i="9"/>
  <c r="W38" i="10"/>
  <c r="X38" i="10" s="1"/>
  <c r="Y38" i="10" s="1"/>
  <c r="W43" i="10"/>
  <c r="X43" i="10" s="1"/>
  <c r="Y43" i="10" s="1"/>
  <c r="V37" i="9"/>
  <c r="U12" i="9"/>
  <c r="U45" i="9"/>
  <c r="V54" i="9"/>
  <c r="U36" i="9"/>
  <c r="V39" i="9"/>
  <c r="W49" i="9"/>
  <c r="X49" i="9" s="1"/>
  <c r="Y49" i="9" s="1"/>
  <c r="W58" i="9"/>
  <c r="X58" i="9" s="1"/>
  <c r="Y58" i="9" s="1"/>
  <c r="W23" i="10"/>
  <c r="X23" i="10" s="1"/>
  <c r="Y23" i="10" s="1"/>
  <c r="W22" i="9"/>
  <c r="X22" i="9" s="1"/>
  <c r="Y22" i="9" s="1"/>
  <c r="Z22" i="9" s="1"/>
  <c r="AA22" i="9" s="1"/>
  <c r="W40" i="9"/>
  <c r="X40" i="9" s="1"/>
  <c r="Y40" i="9" s="1"/>
  <c r="U46" i="9"/>
  <c r="W55" i="9"/>
  <c r="X55" i="9" s="1"/>
  <c r="Y55" i="9" s="1"/>
  <c r="U21" i="9"/>
  <c r="W48" i="9"/>
  <c r="X48" i="9" s="1"/>
  <c r="Y48" i="9" s="1"/>
  <c r="U21" i="10"/>
  <c r="U38" i="10"/>
  <c r="V30" i="10"/>
  <c r="V52" i="10"/>
  <c r="U30" i="9"/>
  <c r="U45" i="10"/>
  <c r="Z45" i="10" s="1"/>
  <c r="AA45" i="10" s="1"/>
  <c r="W36" i="10"/>
  <c r="X36" i="10" s="1"/>
  <c r="Y36" i="10" s="1"/>
  <c r="U44" i="10"/>
  <c r="V23" i="9"/>
  <c r="W24" i="9"/>
  <c r="X24" i="9" s="1"/>
  <c r="Y24" i="9" s="1"/>
  <c r="U29" i="9"/>
  <c r="W39" i="9"/>
  <c r="X39" i="9" s="1"/>
  <c r="Y39" i="9" s="1"/>
  <c r="U14" i="10"/>
  <c r="V24" i="10"/>
  <c r="W40" i="10"/>
  <c r="X40" i="10" s="1"/>
  <c r="Y40" i="10" s="1"/>
  <c r="U59" i="10"/>
  <c r="V46" i="10"/>
  <c r="W53" i="10"/>
  <c r="X53" i="10" s="1"/>
  <c r="Y53" i="10" s="1"/>
  <c r="Z53" i="10" s="1"/>
  <c r="AA53" i="10" s="1"/>
  <c r="U15" i="9"/>
  <c r="Z15" i="9" s="1"/>
  <c r="AA15" i="9" s="1"/>
  <c r="V21" i="9"/>
  <c r="V38" i="9"/>
  <c r="V53" i="9"/>
  <c r="U39" i="10"/>
  <c r="V28" i="10"/>
  <c r="U31" i="10"/>
  <c r="U22" i="9"/>
  <c r="V29" i="9"/>
  <c r="V30" i="9"/>
  <c r="U38" i="9"/>
  <c r="V13" i="10"/>
  <c r="V21" i="10"/>
  <c r="U29" i="10"/>
  <c r="V47" i="10"/>
  <c r="W55" i="10"/>
  <c r="X55" i="10" s="1"/>
  <c r="Y55" i="10" s="1"/>
  <c r="U16" i="9"/>
  <c r="V22" i="9"/>
  <c r="U28" i="9"/>
  <c r="W35" i="9"/>
  <c r="X35" i="9" s="1"/>
  <c r="Y35" i="9" s="1"/>
  <c r="U37" i="9"/>
  <c r="U52" i="9"/>
  <c r="V56" i="9"/>
  <c r="U16" i="10"/>
  <c r="W32" i="10"/>
  <c r="X32" i="10" s="1"/>
  <c r="Y32" i="10" s="1"/>
  <c r="W23" i="9"/>
  <c r="X23" i="9" s="1"/>
  <c r="Y23" i="9" s="1"/>
  <c r="W31" i="10"/>
  <c r="X31" i="10" s="1"/>
  <c r="Y31" i="10" s="1"/>
  <c r="W47" i="10"/>
  <c r="X47" i="10" s="1"/>
  <c r="Y47" i="10" s="1"/>
  <c r="V54" i="10"/>
  <c r="V15" i="9"/>
  <c r="U31" i="9"/>
  <c r="W34" i="9"/>
  <c r="X34" i="9" s="1"/>
  <c r="Y34" i="9" s="1"/>
  <c r="W47" i="9"/>
  <c r="X47" i="9" s="1"/>
  <c r="Y47" i="9" s="1"/>
  <c r="V55" i="9"/>
  <c r="U15" i="10"/>
  <c r="Z15" i="10" s="1"/>
  <c r="AA15" i="10" s="1"/>
  <c r="V22" i="10"/>
  <c r="W27" i="10"/>
  <c r="X27" i="10" s="1"/>
  <c r="Y27" i="10" s="1"/>
  <c r="W30" i="10"/>
  <c r="X30" i="10" s="1"/>
  <c r="Y30" i="10" s="1"/>
  <c r="V31" i="10"/>
  <c r="U37" i="10"/>
  <c r="W46" i="10"/>
  <c r="X46" i="10" s="1"/>
  <c r="Y46" i="10" s="1"/>
  <c r="U52" i="10"/>
  <c r="U53" i="10"/>
  <c r="W24" i="10"/>
  <c r="X24" i="10" s="1"/>
  <c r="Y24" i="10" s="1"/>
  <c r="W31" i="9"/>
  <c r="X31" i="9" s="1"/>
  <c r="Y31" i="9" s="1"/>
  <c r="W54" i="9"/>
  <c r="X54" i="9" s="1"/>
  <c r="Y54" i="9" s="1"/>
  <c r="W57" i="9"/>
  <c r="X57" i="9" s="1"/>
  <c r="Y57" i="9" s="1"/>
  <c r="W60" i="9"/>
  <c r="X60" i="9" s="1"/>
  <c r="Y60" i="9" s="1"/>
  <c r="Z60" i="9" s="1"/>
  <c r="AA60" i="9" s="1"/>
  <c r="W12" i="10"/>
  <c r="X12" i="10" s="1"/>
  <c r="Y12" i="10" s="1"/>
  <c r="Z12" i="10" s="1"/>
  <c r="AA12" i="10" s="1"/>
  <c r="W14" i="10"/>
  <c r="X14" i="10" s="1"/>
  <c r="Y14" i="10" s="1"/>
  <c r="W17" i="10"/>
  <c r="X17" i="10" s="1"/>
  <c r="Y17" i="10" s="1"/>
  <c r="W20" i="10"/>
  <c r="X20" i="10" s="1"/>
  <c r="Y20" i="10" s="1"/>
  <c r="U22" i="10"/>
  <c r="V44" i="10"/>
  <c r="V53" i="10"/>
  <c r="V14" i="9"/>
  <c r="W15" i="9"/>
  <c r="X15" i="9" s="1"/>
  <c r="Y15" i="9" s="1"/>
  <c r="V16" i="9"/>
  <c r="W20" i="9"/>
  <c r="X20" i="9" s="1"/>
  <c r="Y20" i="9" s="1"/>
  <c r="Z20" i="9" s="1"/>
  <c r="AA20" i="9" s="1"/>
  <c r="W21" i="9"/>
  <c r="X21" i="9" s="1"/>
  <c r="Y21" i="9" s="1"/>
  <c r="W25" i="9"/>
  <c r="X25" i="9" s="1"/>
  <c r="Y25" i="9" s="1"/>
  <c r="W38" i="9"/>
  <c r="X38" i="9" s="1"/>
  <c r="Y38" i="9" s="1"/>
  <c r="V46" i="9"/>
  <c r="U55" i="9"/>
  <c r="W59" i="9"/>
  <c r="X59" i="9" s="1"/>
  <c r="Y59" i="9" s="1"/>
  <c r="V15" i="10"/>
  <c r="W16" i="10"/>
  <c r="X16" i="10" s="1"/>
  <c r="Y16" i="10" s="1"/>
  <c r="W19" i="10"/>
  <c r="X19" i="10" s="1"/>
  <c r="Y19" i="10" s="1"/>
  <c r="W21" i="10"/>
  <c r="X21" i="10" s="1"/>
  <c r="Y21" i="10" s="1"/>
  <c r="Z21" i="10" s="1"/>
  <c r="AA21" i="10" s="1"/>
  <c r="V29" i="10"/>
  <c r="U30" i="10"/>
  <c r="V32" i="10"/>
  <c r="V39" i="10"/>
  <c r="V45" i="10"/>
  <c r="W54" i="10"/>
  <c r="X54" i="10" s="1"/>
  <c r="Y54" i="10" s="1"/>
  <c r="W57" i="10"/>
  <c r="X57" i="10" s="1"/>
  <c r="Y57" i="10" s="1"/>
  <c r="W14" i="9"/>
  <c r="X14" i="9" s="1"/>
  <c r="Y14" i="9" s="1"/>
  <c r="W16" i="9"/>
  <c r="X16" i="9" s="1"/>
  <c r="Y16" i="9" s="1"/>
  <c r="W19" i="9"/>
  <c r="X19" i="9" s="1"/>
  <c r="Y19" i="9" s="1"/>
  <c r="V24" i="9"/>
  <c r="W28" i="9"/>
  <c r="X28" i="9" s="1"/>
  <c r="Y28" i="9" s="1"/>
  <c r="Z28" i="9" s="1"/>
  <c r="AA28" i="9" s="1"/>
  <c r="W29" i="9"/>
  <c r="X29" i="9" s="1"/>
  <c r="Y29" i="9" s="1"/>
  <c r="Z29" i="9" s="1"/>
  <c r="AA29" i="9" s="1"/>
  <c r="W33" i="9"/>
  <c r="X33" i="9" s="1"/>
  <c r="Y33" i="9" s="1"/>
  <c r="W46" i="9"/>
  <c r="X46" i="9" s="1"/>
  <c r="Y46" i="9" s="1"/>
  <c r="W50" i="9"/>
  <c r="X50" i="9" s="1"/>
  <c r="Y50" i="9" s="1"/>
  <c r="W53" i="9"/>
  <c r="X53" i="9" s="1"/>
  <c r="Y53" i="9" s="1"/>
  <c r="U53" i="9"/>
  <c r="W56" i="9"/>
  <c r="X56" i="9" s="1"/>
  <c r="Y56" i="9" s="1"/>
  <c r="W15" i="10"/>
  <c r="X15" i="10" s="1"/>
  <c r="Y15" i="10" s="1"/>
  <c r="W39" i="10"/>
  <c r="X39" i="10" s="1"/>
  <c r="Y39" i="10" s="1"/>
  <c r="W45" i="10"/>
  <c r="X45" i="10" s="1"/>
  <c r="Y45" i="10" s="1"/>
  <c r="U46" i="10"/>
  <c r="Z46" i="10" s="1"/>
  <c r="AA46" i="10" s="1"/>
  <c r="W48" i="10"/>
  <c r="X48" i="10" s="1"/>
  <c r="Y48" i="10" s="1"/>
  <c r="U23" i="9"/>
  <c r="W27" i="9"/>
  <c r="X27" i="9" s="1"/>
  <c r="Y27" i="9" s="1"/>
  <c r="V32" i="9"/>
  <c r="W36" i="9"/>
  <c r="X36" i="9" s="1"/>
  <c r="Y36" i="9" s="1"/>
  <c r="W37" i="9"/>
  <c r="X37" i="9" s="1"/>
  <c r="Y37" i="9" s="1"/>
  <c r="W41" i="9"/>
  <c r="X41" i="9" s="1"/>
  <c r="Y41" i="9" s="1"/>
  <c r="U54" i="9"/>
  <c r="U60" i="9"/>
  <c r="W11" i="10"/>
  <c r="X11" i="10" s="1"/>
  <c r="Y11" i="10" s="1"/>
  <c r="W13" i="10"/>
  <c r="X13" i="10" s="1"/>
  <c r="Y13" i="10" s="1"/>
  <c r="W18" i="10"/>
  <c r="X18" i="10" s="1"/>
  <c r="Y18" i="10" s="1"/>
  <c r="U20" i="10"/>
  <c r="W25" i="10"/>
  <c r="X25" i="10" s="1"/>
  <c r="Y25" i="10" s="1"/>
  <c r="W35" i="10"/>
  <c r="X35" i="10" s="1"/>
  <c r="Y35" i="10" s="1"/>
  <c r="V36" i="10"/>
  <c r="W41" i="10"/>
  <c r="X41" i="10" s="1"/>
  <c r="Y41" i="10" s="1"/>
  <c r="W51" i="10"/>
  <c r="X51" i="10" s="1"/>
  <c r="Y51" i="10" s="1"/>
  <c r="Z51" i="10" s="1"/>
  <c r="AA51" i="10" s="1"/>
  <c r="W52" i="10"/>
  <c r="X52" i="10" s="1"/>
  <c r="Y52" i="10" s="1"/>
  <c r="W12" i="9"/>
  <c r="X12" i="9" s="1"/>
  <c r="Y12" i="9" s="1"/>
  <c r="V40" i="9"/>
  <c r="W45" i="9"/>
  <c r="X45" i="9" s="1"/>
  <c r="Y45" i="9" s="1"/>
  <c r="Z45" i="9" s="1"/>
  <c r="AA45" i="9" s="1"/>
  <c r="W56" i="10"/>
  <c r="X56" i="10" s="1"/>
  <c r="Y56" i="10" s="1"/>
  <c r="W60" i="10"/>
  <c r="X60" i="10" s="1"/>
  <c r="Y60" i="10" s="1"/>
  <c r="W13" i="9"/>
  <c r="X13" i="9" s="1"/>
  <c r="Y13" i="9" s="1"/>
  <c r="W44" i="9"/>
  <c r="X44" i="9" s="1"/>
  <c r="Y44" i="9" s="1"/>
  <c r="W11" i="9"/>
  <c r="X11" i="9" s="1"/>
  <c r="Y11" i="9" s="1"/>
  <c r="W18" i="9"/>
  <c r="X18" i="9" s="1"/>
  <c r="Y18" i="9" s="1"/>
  <c r="W32" i="9"/>
  <c r="X32" i="9" s="1"/>
  <c r="Y32" i="9" s="1"/>
  <c r="U39" i="9"/>
  <c r="W43" i="9"/>
  <c r="X43" i="9" s="1"/>
  <c r="Y43" i="9" s="1"/>
  <c r="V48" i="9"/>
  <c r="U12" i="10"/>
  <c r="W28" i="10"/>
  <c r="X28" i="10" s="1"/>
  <c r="Y28" i="10" s="1"/>
  <c r="W34" i="10"/>
  <c r="X34" i="10" s="1"/>
  <c r="Y34" i="10" s="1"/>
  <c r="U36" i="10"/>
  <c r="W37" i="10"/>
  <c r="X37" i="10" s="1"/>
  <c r="Y37" i="10" s="1"/>
  <c r="W44" i="10"/>
  <c r="X44" i="10" s="1"/>
  <c r="Y44" i="10" s="1"/>
  <c r="W50" i="10"/>
  <c r="X50" i="10" s="1"/>
  <c r="Y50" i="10" s="1"/>
  <c r="U55" i="10"/>
  <c r="W59" i="10"/>
  <c r="X59" i="10" s="1"/>
  <c r="Y59" i="10" s="1"/>
  <c r="W26" i="9"/>
  <c r="X26" i="9" s="1"/>
  <c r="Y26" i="9" s="1"/>
  <c r="V31" i="9"/>
  <c r="U47" i="9"/>
  <c r="V14" i="10"/>
  <c r="V23" i="10"/>
  <c r="V38" i="10"/>
  <c r="U43" i="10"/>
  <c r="W49" i="10"/>
  <c r="X49" i="10" s="1"/>
  <c r="Y49" i="10" s="1"/>
  <c r="U54" i="10"/>
  <c r="V55" i="10"/>
  <c r="W58" i="10"/>
  <c r="X58" i="10" s="1"/>
  <c r="Y58" i="10" s="1"/>
  <c r="U60" i="10"/>
  <c r="V13" i="9"/>
  <c r="W42" i="9"/>
  <c r="X42" i="9" s="1"/>
  <c r="Y42" i="9" s="1"/>
  <c r="V45" i="9"/>
  <c r="V47" i="9"/>
  <c r="W51" i="9"/>
  <c r="X51" i="9" s="1"/>
  <c r="Y51" i="9" s="1"/>
  <c r="W52" i="9"/>
  <c r="X52" i="9" s="1"/>
  <c r="Y52" i="9" s="1"/>
  <c r="V16" i="10"/>
  <c r="W26" i="10"/>
  <c r="X26" i="10" s="1"/>
  <c r="Y26" i="10" s="1"/>
  <c r="U28" i="10"/>
  <c r="Z28" i="10" s="1"/>
  <c r="AA28" i="10" s="1"/>
  <c r="W29" i="10"/>
  <c r="X29" i="10" s="1"/>
  <c r="Y29" i="10" s="1"/>
  <c r="W33" i="10"/>
  <c r="X33" i="10" s="1"/>
  <c r="Y33" i="10" s="1"/>
  <c r="W42" i="10"/>
  <c r="X42" i="10" s="1"/>
  <c r="Y42" i="10" s="1"/>
  <c r="V60" i="10"/>
  <c r="U11" i="10"/>
  <c r="V12" i="10"/>
  <c r="U19" i="10"/>
  <c r="V20" i="10"/>
  <c r="U27" i="10"/>
  <c r="U35" i="10"/>
  <c r="V11" i="10"/>
  <c r="U18" i="10"/>
  <c r="V19" i="10"/>
  <c r="Z23" i="10"/>
  <c r="AA23" i="10" s="1"/>
  <c r="U26" i="10"/>
  <c r="V27" i="10"/>
  <c r="U34" i="10"/>
  <c r="V35" i="10"/>
  <c r="U42" i="10"/>
  <c r="V43" i="10"/>
  <c r="U50" i="10"/>
  <c r="V51" i="10"/>
  <c r="U58" i="10"/>
  <c r="V59" i="10"/>
  <c r="U17" i="10"/>
  <c r="V18" i="10"/>
  <c r="U25" i="10"/>
  <c r="V26" i="10"/>
  <c r="U33" i="10"/>
  <c r="V34" i="10"/>
  <c r="U41" i="10"/>
  <c r="V42" i="10"/>
  <c r="U49" i="10"/>
  <c r="V50" i="10"/>
  <c r="U57" i="10"/>
  <c r="V58" i="10"/>
  <c r="V17" i="10"/>
  <c r="U24" i="10"/>
  <c r="V25" i="10"/>
  <c r="U32" i="10"/>
  <c r="V33" i="10"/>
  <c r="U40" i="10"/>
  <c r="V41" i="10"/>
  <c r="U48" i="10"/>
  <c r="V49" i="10"/>
  <c r="U56" i="10"/>
  <c r="V57" i="10"/>
  <c r="V40" i="10"/>
  <c r="V48" i="10"/>
  <c r="V56" i="10"/>
  <c r="Z55" i="9"/>
  <c r="AA55" i="9" s="1"/>
  <c r="U11" i="9"/>
  <c r="V12" i="9"/>
  <c r="U19" i="9"/>
  <c r="V20" i="9"/>
  <c r="U27" i="9"/>
  <c r="V28" i="9"/>
  <c r="U35" i="9"/>
  <c r="V36" i="9"/>
  <c r="U43" i="9"/>
  <c r="V44" i="9"/>
  <c r="U51" i="9"/>
  <c r="V52" i="9"/>
  <c r="U59" i="9"/>
  <c r="V60" i="9"/>
  <c r="V11" i="9"/>
  <c r="U18" i="9"/>
  <c r="V19" i="9"/>
  <c r="U26" i="9"/>
  <c r="V27" i="9"/>
  <c r="U34" i="9"/>
  <c r="V35" i="9"/>
  <c r="U42" i="9"/>
  <c r="V43" i="9"/>
  <c r="U50" i="9"/>
  <c r="V51" i="9"/>
  <c r="U58" i="9"/>
  <c r="V59" i="9"/>
  <c r="U17" i="9"/>
  <c r="V18" i="9"/>
  <c r="U25" i="9"/>
  <c r="V26" i="9"/>
  <c r="U33" i="9"/>
  <c r="V34" i="9"/>
  <c r="U41" i="9"/>
  <c r="V42" i="9"/>
  <c r="U49" i="9"/>
  <c r="V50" i="9"/>
  <c r="U57" i="9"/>
  <c r="V58" i="9"/>
  <c r="V17" i="9"/>
  <c r="U24" i="9"/>
  <c r="V25" i="9"/>
  <c r="U32" i="9"/>
  <c r="V33" i="9"/>
  <c r="U40" i="9"/>
  <c r="V41" i="9"/>
  <c r="U48" i="9"/>
  <c r="V49" i="9"/>
  <c r="U56" i="9"/>
  <c r="V57" i="9"/>
  <c r="Z12" i="9"/>
  <c r="AA12" i="9" s="1"/>
  <c r="Z16" i="9" l="1"/>
  <c r="AA16" i="9" s="1"/>
  <c r="Z29" i="10"/>
  <c r="AA29" i="10" s="1"/>
  <c r="Z44" i="10"/>
  <c r="AA44" i="10" s="1"/>
  <c r="Z43" i="10"/>
  <c r="AA43" i="10" s="1"/>
  <c r="Z38" i="10"/>
  <c r="AA38" i="10" s="1"/>
  <c r="Z38" i="9"/>
  <c r="AA38" i="9" s="1"/>
  <c r="Z54" i="10"/>
  <c r="AA54" i="10" s="1"/>
  <c r="Z36" i="9"/>
  <c r="AA36" i="9" s="1"/>
  <c r="Z13" i="10"/>
  <c r="AA13" i="10" s="1"/>
  <c r="Z22" i="10"/>
  <c r="AA22" i="10" s="1"/>
  <c r="Z14" i="9"/>
  <c r="AA14" i="9" s="1"/>
  <c r="Z47" i="9"/>
  <c r="AA47" i="9" s="1"/>
  <c r="Z54" i="9"/>
  <c r="AA54" i="9" s="1"/>
  <c r="Z47" i="10"/>
  <c r="AA47" i="10" s="1"/>
  <c r="Z37" i="9"/>
  <c r="AA37" i="9" s="1"/>
  <c r="Z60" i="10"/>
  <c r="AA60" i="10" s="1"/>
  <c r="Z23" i="9"/>
  <c r="AA23" i="9" s="1"/>
  <c r="Z14" i="10"/>
  <c r="AA14" i="10" s="1"/>
  <c r="Z30" i="9"/>
  <c r="AA30" i="9" s="1"/>
  <c r="Z37" i="10"/>
  <c r="AA37" i="10" s="1"/>
  <c r="Z46" i="9"/>
  <c r="AA46" i="9" s="1"/>
  <c r="Z21" i="9"/>
  <c r="AA21" i="9" s="1"/>
  <c r="Z39" i="10"/>
  <c r="AA39" i="10" s="1"/>
  <c r="Z20" i="10"/>
  <c r="AA20" i="10" s="1"/>
  <c r="Z36" i="10"/>
  <c r="AA36" i="10" s="1"/>
  <c r="Z52" i="10"/>
  <c r="AA52" i="10" s="1"/>
  <c r="Z52" i="9"/>
  <c r="AA52" i="9" s="1"/>
  <c r="Z13" i="9"/>
  <c r="AA13" i="9" s="1"/>
  <c r="Z31" i="9"/>
  <c r="AA31" i="9" s="1"/>
  <c r="Z30" i="10"/>
  <c r="AA30" i="10" s="1"/>
  <c r="Z53" i="9"/>
  <c r="AA53" i="9" s="1"/>
  <c r="Z39" i="9"/>
  <c r="AA39" i="9" s="1"/>
  <c r="Z59" i="10"/>
  <c r="AA59" i="10" s="1"/>
  <c r="Z31" i="10"/>
  <c r="AA31" i="10" s="1"/>
  <c r="Z16" i="10"/>
  <c r="AA16" i="10" s="1"/>
  <c r="Z55" i="10"/>
  <c r="AA55" i="10" s="1"/>
  <c r="Z25" i="10"/>
  <c r="AA25" i="10" s="1"/>
  <c r="Z50" i="10"/>
  <c r="AA50" i="10" s="1"/>
  <c r="Z27" i="10"/>
  <c r="AA27" i="10" s="1"/>
  <c r="Z24" i="10"/>
  <c r="AA24" i="10" s="1"/>
  <c r="Z40" i="10"/>
  <c r="AA40" i="10" s="1"/>
  <c r="Z26" i="10"/>
  <c r="AA26" i="10" s="1"/>
  <c r="Z41" i="10"/>
  <c r="AA41" i="10" s="1"/>
  <c r="Z19" i="10"/>
  <c r="AA19" i="10" s="1"/>
  <c r="Z35" i="10"/>
  <c r="AA35" i="10" s="1"/>
  <c r="Z56" i="10"/>
  <c r="AA56" i="10" s="1"/>
  <c r="Z17" i="10"/>
  <c r="AA17" i="10" s="1"/>
  <c r="Z42" i="10"/>
  <c r="AA42" i="10" s="1"/>
  <c r="Z57" i="10"/>
  <c r="AA57" i="10" s="1"/>
  <c r="Z18" i="10"/>
  <c r="AA18" i="10" s="1"/>
  <c r="Z11" i="10"/>
  <c r="AA11" i="10" s="1"/>
  <c r="Z32" i="10"/>
  <c r="AA32" i="10" s="1"/>
  <c r="Z33" i="10"/>
  <c r="AA33" i="10" s="1"/>
  <c r="Z49" i="10"/>
  <c r="AA49" i="10" s="1"/>
  <c r="Z48" i="10"/>
  <c r="AA48" i="10" s="1"/>
  <c r="Z58" i="10"/>
  <c r="AA58" i="10" s="1"/>
  <c r="Z34" i="10"/>
  <c r="AA34" i="10" s="1"/>
  <c r="Z41" i="9"/>
  <c r="AA41" i="9" s="1"/>
  <c r="Z42" i="9"/>
  <c r="AA42" i="9" s="1"/>
  <c r="Z56" i="9"/>
  <c r="AA56" i="9" s="1"/>
  <c r="Z17" i="9"/>
  <c r="AA17" i="9" s="1"/>
  <c r="Z59" i="9"/>
  <c r="AA59" i="9" s="1"/>
  <c r="Z27" i="9"/>
  <c r="AA27" i="9" s="1"/>
  <c r="Z32" i="9"/>
  <c r="AA32" i="9" s="1"/>
  <c r="Z57" i="9"/>
  <c r="AA57" i="9" s="1"/>
  <c r="Z34" i="9"/>
  <c r="AA34" i="9" s="1"/>
  <c r="Z51" i="9"/>
  <c r="AA51" i="9" s="1"/>
  <c r="Z48" i="9"/>
  <c r="AA48" i="9" s="1"/>
  <c r="Z58" i="9"/>
  <c r="AA58" i="9" s="1"/>
  <c r="Z26" i="9"/>
  <c r="AA26" i="9" s="1"/>
  <c r="Z35" i="9"/>
  <c r="AA35" i="9" s="1"/>
  <c r="Z33" i="9"/>
  <c r="AA33" i="9" s="1"/>
  <c r="Z19" i="9"/>
  <c r="AA19" i="9" s="1"/>
  <c r="Z24" i="9"/>
  <c r="AA24" i="9" s="1"/>
  <c r="Z49" i="9"/>
  <c r="AA49" i="9" s="1"/>
  <c r="Z43" i="9"/>
  <c r="AA43" i="9" s="1"/>
  <c r="Z40" i="9"/>
  <c r="AA40" i="9" s="1"/>
  <c r="Z25" i="9"/>
  <c r="AA25" i="9" s="1"/>
  <c r="Z50" i="9"/>
  <c r="AA50" i="9" s="1"/>
  <c r="Z18" i="9"/>
  <c r="AA18" i="9" s="1"/>
  <c r="Z11" i="9"/>
  <c r="AA1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tc={698A7D58-AD6B-47B1-A5F8-FAD47B94ED40}</author>
  </authors>
  <commentList>
    <comment ref="AA13" authorId="0" shapeId="0" xr:uid="{698A7D58-AD6B-47B1-A5F8-FAD47B94ED40}">
      <text>
        <r>
          <rPr>
            <sz val="11"/>
            <color theme="1"/>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Este riesgo residual no varia con el tratamiento aplicado?
Respuesta:
    Se corrige probabilidad de ocurrencia</t>
        </r>
      </text>
    </comment>
  </commentList>
</comments>
</file>

<file path=xl/sharedStrings.xml><?xml version="1.0" encoding="utf-8"?>
<sst xmlns="http://schemas.openxmlformats.org/spreadsheetml/2006/main" count="1482" uniqueCount="727">
  <si>
    <r>
      <t xml:space="preserve">GESTIÓN DE ABASTECIMIENTO
</t>
    </r>
    <r>
      <rPr>
        <sz val="11"/>
        <color theme="1"/>
        <rFont val="Arial"/>
        <family val="2"/>
      </rPr>
      <t xml:space="preserve"> Matriz de Riesgos Contractuales</t>
    </r>
  </si>
  <si>
    <t>INSTRUCTIVO PARA EL DILIGENCIAMIENTO DEL FORMATO MATRIZ DE RIESGOS CONTRACTUALES</t>
  </si>
  <si>
    <t>CAMPO</t>
  </si>
  <si>
    <t>INSTRUCCIONES DE DILIGENCIAMIENTO</t>
  </si>
  <si>
    <t>Hoja de Contexto</t>
  </si>
  <si>
    <r>
      <t xml:space="preserve">En la hoja de contexto por favor registre las respuestas a las diferentes preguntas. 
Para un adecuado establecimiento del contexto es necesario analizar la incidencia de los factores internos y externos de acuerdo con la naturaleza, las características y la particularidad misma de cada contrato. Este es el primer paso en la gestión de riesgos y es fundamental para identificar los riesgos del contrato.
Algunas de las preguntas no aplican para todo tipo de contratos, en dicho caso, en los campos de respuesta se deberá digitar "No aplica".
Es importante tener en cuenta que en la medida que se diligencia la hoja de contexto es recomendable ir realizando la identificación y descripción de los posibles riesgos que se van visualizando e identificando a partir de las diferentes incertidumbres que se encuentran en el análisis del contexto del contrato. Por ejemplo: si en un contrato de compra de equipos tecnológicos se identifica que varios de los componentes se van a comprar en otros países y están sujetos a variaciones cambiarias por compras al exterior, inmediatamente se identificaría un riesgo como: </t>
    </r>
    <r>
      <rPr>
        <i/>
        <sz val="10"/>
        <color theme="1"/>
        <rFont val="Arial"/>
        <family val="2"/>
      </rPr>
      <t>"Posibilidad de variación desfavorable de los precios de los componentes y equipos tecnológicos debido a cambios en la TRM, que puede llevar a realizar modificaciones al presupuesto inicialmente definido".</t>
    </r>
  </si>
  <si>
    <t>Hoja Matriz de Criterios</t>
  </si>
  <si>
    <r>
      <t xml:space="preserve">En la hoja de matriz de criterios podrá consultar las escalas de impacto y probabilidad para riesgos adversos o negativos y para riesgos positivos o favorables, esta le será útil cuando se encuentre valorando los riesgos, pues allí podrá revisar los diferentes criterios definidos para riesgos contractuales.
</t>
    </r>
    <r>
      <rPr>
        <b/>
        <sz val="10"/>
        <color rgb="FFFF0000"/>
        <rFont val="Arial"/>
        <family val="2"/>
      </rPr>
      <t>*Nota</t>
    </r>
    <r>
      <rPr>
        <sz val="10"/>
        <color theme="1"/>
        <rFont val="Arial"/>
        <family val="2"/>
      </rPr>
      <t>: Por favor tenga en cuenta no eliminar ni las filas, ni las columnas que ya están preestablecidas, ya que automáticamente desajustará la formulación del formato.</t>
    </r>
  </si>
  <si>
    <t>Hoja Matriz de riesgos</t>
  </si>
  <si>
    <t>En la hoja de matriz de riesgos se deberá tener en cuenta los siguientes lineamientos para su correcto diligenciamiento, allí quedará definido la identificación, valoración (Inherente y residual), tratamientos, y demás información asociada a los riesgos identificados. Cada campo del formato de la hoja matriz de riesgo, tiene asociado un número con el cual podrá consultar en la hoja de instructivo, como se diligencia y que se debe tener en cuenta para hacerlo correctamente.</t>
  </si>
  <si>
    <t>No.</t>
  </si>
  <si>
    <t>Niveles</t>
  </si>
  <si>
    <t>DESCRIPCIÓN</t>
  </si>
  <si>
    <t>Muy Alto</t>
  </si>
  <si>
    <t>El contrato logrará el objetivo en la mayoría de las circunstancias.</t>
  </si>
  <si>
    <t>Alto</t>
  </si>
  <si>
    <t>Solo en circunstancias graves se podrían afectar los objetivos del contrato</t>
  </si>
  <si>
    <t>Medio</t>
  </si>
  <si>
    <t>Solo en algunas circunstancias se podrían afectar los objetivos del contrato</t>
  </si>
  <si>
    <t>Bajo</t>
  </si>
  <si>
    <t>Solo en circunstancias excepcionales se podrían afectar los objetivos del contrato</t>
  </si>
  <si>
    <t>Muy Bajo</t>
  </si>
  <si>
    <t>En la mayoría de las circunstancias el objetivo se podría afectar.</t>
  </si>
  <si>
    <t>CATEGORIAS DE IMPACTO</t>
  </si>
  <si>
    <t>NIVEL DE IMPACTO</t>
  </si>
  <si>
    <t>Muy bajo (1)</t>
  </si>
  <si>
    <t>Bajo (2)</t>
  </si>
  <si>
    <t>Medio (3)</t>
  </si>
  <si>
    <t>Alto (4)</t>
  </si>
  <si>
    <t>Muy alto (5)</t>
  </si>
  <si>
    <t>MATRIZ DE POSICIÓN DE SUMINISTRO</t>
  </si>
  <si>
    <t>*Rutinario</t>
  </si>
  <si>
    <t>*Palanca (Relevantes)</t>
  </si>
  <si>
    <t>*Cuello de botella (Restrictivos)</t>
  </si>
  <si>
    <t>*Cuello de Botella
(Restrictivos)</t>
  </si>
  <si>
    <t>*Estratégico</t>
  </si>
  <si>
    <t>IMPACTO DEL CONTRATO EN LA ESTRATEGIA</t>
  </si>
  <si>
    <t>Causa un impacto insignificante en el logro de los objetivos estratégicos.</t>
  </si>
  <si>
    <t>Causa un impacto apreciable en el logro de los objetivos estratégicos.</t>
  </si>
  <si>
    <t xml:space="preserve">Causa un impacto significativo en el logro de los objetivos estratégicos.
(Genera baja afectación presupuestal) </t>
  </si>
  <si>
    <t>Causa un impacto importante en el logro de los objetivos estratégicos.
(Genera alta afectación presupuestal)</t>
  </si>
  <si>
    <t>Causa un impacto trascendental en el logro de los objetivos estratégicos.</t>
  </si>
  <si>
    <t>La importancia de definir el nivel de impacto en la estrategia es precisamente comprender, alinear y fortalecer la gestión de riesgos entre las diferentes áreas y niveles de la organización, permitiendo tener una visión y comprensión íntegra de la gestión del riesgo del contrato y su relación con los objetivos que persigue la compañía.
El siguiente gráfico establece los diferentes niveles de combinación de la probabilidad e impacto, de acuerdo con lo señalado anteriormente:</t>
  </si>
  <si>
    <t>PROBABILIDAD</t>
  </si>
  <si>
    <t>MODERADO (5) +</t>
  </si>
  <si>
    <t>MODERADO (10) +</t>
  </si>
  <si>
    <r>
      <t>ALTO (15)</t>
    </r>
    <r>
      <rPr>
        <sz val="9"/>
        <color rgb="FF263B18"/>
        <rFont val="Arial"/>
        <family val="2"/>
      </rPr>
      <t xml:space="preserve"> +</t>
    </r>
  </si>
  <si>
    <t>EXTREMO (20) +</t>
  </si>
  <si>
    <t>EXTREMO (25) +</t>
  </si>
  <si>
    <t>MODERADO (4) +</t>
  </si>
  <si>
    <t>MODERADO (8) +</t>
  </si>
  <si>
    <r>
      <t>ALTO (12)</t>
    </r>
    <r>
      <rPr>
        <sz val="9"/>
        <color rgb="FF263B18"/>
        <rFont val="Arial"/>
        <family val="2"/>
      </rPr>
      <t xml:space="preserve"> +</t>
    </r>
  </si>
  <si>
    <r>
      <t>ALTO (16)</t>
    </r>
    <r>
      <rPr>
        <sz val="9"/>
        <color rgb="FF263B18"/>
        <rFont val="Arial"/>
        <family val="2"/>
      </rPr>
      <t xml:space="preserve"> +</t>
    </r>
  </si>
  <si>
    <t>BAJO (3) +</t>
  </si>
  <si>
    <t>MODERADO (6) +</t>
  </si>
  <si>
    <t>MODERADO (9) +</t>
  </si>
  <si>
    <t>BAJO (2) +</t>
  </si>
  <si>
    <t>BAJO (4) +</t>
  </si>
  <si>
    <t>BAJO (1) +</t>
  </si>
  <si>
    <t>CATEGORIA DE IMPACTO</t>
  </si>
  <si>
    <t>IMPACTO</t>
  </si>
  <si>
    <t>Los siguientes campos explican como se debe diligenciar la matriz de riesgos contractuales.</t>
  </si>
  <si>
    <t>IDENTIFICACIÓN DEL RIESGO</t>
  </si>
  <si>
    <t>1. No. Riesgo</t>
  </si>
  <si>
    <t>Ingrese el número de identificación del riesgo en orden consecutivo.</t>
  </si>
  <si>
    <t>2. Etapa contractual</t>
  </si>
  <si>
    <t>En este campo seleccione de la lista desplegable, la etapa contractual en la que se visualiza que el riesgo se puede materializar (Planeación, selección, ejecución, terminación, disposición final, calidad o estabilidad).</t>
  </si>
  <si>
    <t>3.¿Qué puede suceder?
(Riesgo)</t>
  </si>
  <si>
    <t>4. ¿Cómo puede suceder? (Causa(s))</t>
  </si>
  <si>
    <r>
      <t xml:space="preserve">Redacte la respuesta a la siguiente pregunta: ¿Cómo puede suceder?, es importante analizar otras preguntas como: 
-¿Por qué se puede presentar?
-¿Quién puede generarlo?
-¿Cuándo puede suceder?
-¿Qué situación o circunstancia puede aumentar la posibilidad de que el riesgo se materialice?
Establezca la causa raíz, o causas principales de acuerdo al análisis efectuado.
</t>
    </r>
    <r>
      <rPr>
        <b/>
        <sz val="10"/>
        <color rgb="FFFF0000"/>
        <rFont val="Arial"/>
        <family val="2"/>
      </rPr>
      <t>*</t>
    </r>
    <r>
      <rPr>
        <sz val="10"/>
        <color theme="1"/>
        <rFont val="Arial"/>
        <family val="2"/>
      </rPr>
      <t>Definición de causa: Todos aquellos factores internos y externos que solos o en combinación con otros, pueden producir la materialización de un riesgo.</t>
    </r>
  </si>
  <si>
    <t>5. Descripción general de la consecuencia sobre el objeto contractual</t>
  </si>
  <si>
    <r>
      <t xml:space="preserve">Describa la consecuencia(s) que pueden darse por la materialización del riesgo, esta consecuencia puede ser un evento que tenga efectos sobre el objeto contractual o incluso sobre algún parámetro u obligación contemplada en las condiciones generales o específicas del contrato.
</t>
    </r>
    <r>
      <rPr>
        <b/>
        <sz val="10"/>
        <color rgb="FFFF0000"/>
        <rFont val="Arial"/>
        <family val="2"/>
      </rPr>
      <t>*</t>
    </r>
    <r>
      <rPr>
        <sz val="10"/>
        <color theme="1"/>
        <rFont val="Arial"/>
        <family val="2"/>
      </rPr>
      <t>Definición de consecuencia: Resultado de un evento que afecta a los objetivos. Una consecuencia puede ser cierta o incierta y puede tener efectos positivos o negativos, directos o indirectos sobre los objetivos. Las consecuencias se pueden expresar de manera cualitativa o cuantitativa. Cualquier consecuencia puede incrementarse por efectos en cascada y efectos acumulativos.</t>
    </r>
  </si>
  <si>
    <t>6. Tipo de riesgo</t>
  </si>
  <si>
    <t>Seleccione el tipo de riesgo de la lista desplegable, que aparece en la columna de la matriz de riesgos.</t>
  </si>
  <si>
    <r>
      <rPr>
        <b/>
        <sz val="10"/>
        <color theme="1"/>
        <rFont val="Arial"/>
        <family val="2"/>
      </rPr>
      <t>Riesgos Económicos</t>
    </r>
    <r>
      <rPr>
        <sz val="10"/>
        <color theme="1"/>
        <rFont val="Arial"/>
        <family val="2"/>
      </rPr>
      <t>: Alteraciones y fluctuaciones en el tipo de cambio, tasa de interés, curva de Inflación, variaciones en el comercio nacional e internacional, medidas y trámites de Importaciones y exportaciones, oferta o demanda, desabastecimiento y especulación de materias, insumos o servicios necesarios o requeridos por el contratista, disponibilidad y costo de mano de obra, cambios en los precios en general y derivados de variaciones en la oferta o demanda de bienes y servicios, escasez de mano de obra.</t>
    </r>
  </si>
  <si>
    <r>
      <rPr>
        <b/>
        <sz val="10"/>
        <color theme="1"/>
        <rFont val="Arial"/>
        <family val="2"/>
      </rPr>
      <t>Comercial</t>
    </r>
    <r>
      <rPr>
        <sz val="10"/>
        <color theme="1"/>
        <rFont val="Arial"/>
        <family val="2"/>
      </rPr>
      <t>: Comprende los riesgos asociados a la pérdida de mercado o demanda del bien o servicio, puede ser causado por fallas propias en la operación, cambios en las condiciones y/o características propias del mercado, competencia, sustitutos, entre otros.</t>
    </r>
  </si>
  <si>
    <r>
      <rPr>
        <b/>
        <sz val="10"/>
        <color theme="1"/>
        <rFont val="Arial"/>
        <family val="2"/>
      </rPr>
      <t>Tecnológicos e Infraestructura pública:</t>
    </r>
    <r>
      <rPr>
        <sz val="10"/>
        <color theme="1"/>
        <rFont val="Arial"/>
        <family val="2"/>
      </rPr>
      <t xml:space="preserve"> Se contemplan los riesgos que podrían ocurrir por fallas en los sistemas de telecomunicación de voz y de datos, suspensión de servicios públicos, advenimiento de nuevos desarrollos tecnológicos o estándares que deben ser tenidos en cuenta para la ejecución del contrato, así como la obsolescencia tecnológica. Así mismo, se considera la operatividad y estado de las vías de acceso, la disponibilidad de medios de transporte adecuados para transitar y acceder a los sitios para ejecutar las actividades propias del contrato.
También se incluyen fallas, ataques cibernéticos que causen parálisis o perdida en cuanto a la disponibilidad, confidencialidad e integridad de la información, no disponibilidad o colapso de infraestructura o plataformas tecnológicas, sistemas de información, aplicativos informáticos, que sean necesarios o contribuyan para la correcta ejecución del contrato.</t>
    </r>
  </si>
  <si>
    <r>
      <rPr>
        <b/>
        <sz val="10"/>
        <color theme="1"/>
        <rFont val="Arial"/>
        <family val="2"/>
      </rPr>
      <t>Sociales y Políticos:</t>
    </r>
    <r>
      <rPr>
        <sz val="10"/>
        <color theme="1"/>
        <rFont val="Arial"/>
        <family val="2"/>
      </rPr>
      <t xml:space="preserve"> Son los riesgos derivados de los cambios de las políticas gubernamentales y de cambios en las condiciones sociales. Así mismo se consideran los riesgos que sean generados por la alteración del orden público, los actos de terrorismo y actos de delincuencia común que sean cometidos al amparo de fallas de los sistemas de vigilancia y control que se deban implementar y mantener adecuadamente, actividad proselitista, huelgas, y protestas frente a las cuales se debe mantener una actitud de diligencia y cuidado adecuados. También se consideran aquí las costumbres y usos culturales, religiosos y creencias de las personas que se afectan, benefician, o influyen de la ejecución del contrato.</t>
    </r>
  </si>
  <si>
    <r>
      <rPr>
        <b/>
        <sz val="10"/>
        <color theme="1"/>
        <rFont val="Arial"/>
        <family val="2"/>
      </rPr>
      <t>Actos de la naturaleza:</t>
    </r>
    <r>
      <rPr>
        <sz val="10"/>
        <color theme="1"/>
        <rFont val="Arial"/>
        <family val="2"/>
      </rPr>
      <t xml:space="preserve"> Son los eventos naturales previsibles en los cuales no hay intervención humana que puedan tener impacto en la ejecución del contrato, considerando fenómenos geológicos, freáticos, hidrológicos, climáticos, incendios forestales, biológicos, patológicos, acción de roedores, insectos y demás animales, todos los anteriores dentro de los parámetros previsibles que determinen su acontecer con base en las condiciones que se dan en el área de influencia del contrato.</t>
    </r>
  </si>
  <si>
    <r>
      <rPr>
        <b/>
        <sz val="10"/>
        <color theme="1"/>
        <rFont val="Arial"/>
        <family val="2"/>
      </rPr>
      <t>Hecho de las cosas</t>
    </r>
    <r>
      <rPr>
        <sz val="10"/>
        <color theme="1"/>
        <rFont val="Arial"/>
        <family val="2"/>
      </rPr>
      <t>: En este tipo de riesgos se incluyen los que ocurran por incendios, roturas, caídas, colapso, filtraciones, derrames, explosiones, falla mecánica, todos de carácter súbito y accidental, pero cuyo desarrollo debe ser considerado en ejecución del contrato. Los que se presenten por falta de diligencia y extremo cuidado, al igual que los que se deriven de fallas de los sistemas de vigilancia y control que deben ser implementados y mantenidos.</t>
    </r>
  </si>
  <si>
    <r>
      <rPr>
        <b/>
        <sz val="10"/>
        <color theme="1"/>
        <rFont val="Arial"/>
        <family val="2"/>
      </rPr>
      <t>Financieros:</t>
    </r>
    <r>
      <rPr>
        <sz val="10"/>
        <color theme="1"/>
        <rFont val="Arial"/>
        <family val="2"/>
      </rPr>
      <t xml:space="preserve"> En este tipo, se incluye (i) el riesgo de consecución de financiación o riesgo de liquidez para obtener recursos para cumplir con el objeto del contrato, el pago de bienes que sean sujetos de disposición final, y (ii) el riesgo de las condiciones financieras establecidas para la obtención de los recursos, tales como plazos, tasas de interés, garantías, contragarantías, y refinanciaciones, entre otros.</t>
    </r>
  </si>
  <si>
    <r>
      <rPr>
        <b/>
        <sz val="10"/>
        <color theme="1"/>
        <rFont val="Arial"/>
        <family val="2"/>
      </rPr>
      <t>Regulatorios y Acciones Legales</t>
    </r>
    <r>
      <rPr>
        <sz val="10"/>
        <color theme="1"/>
        <rFont val="Arial"/>
        <family val="2"/>
      </rPr>
      <t>: Se refiere a riesgos derivados de cambios regulatorios o reglamentarios que deben ser cumplidos en el marco de la ejecución de un contrato; nuevas normas o disposiciones legales que ya se conocen pero que aún no han entrado en vigor; impuestos, cargas parafiscales, tributos y timbres, estampillas o cargos de origen impositivo de los bienes o servicios necesarios para el contrato; actos de autoridad, comiso, embargo, confiscación y extinción de dominio de bienes. Se incluyen también licencias, permisos y derechos de autor o propiedad intelectual de obras, software, aplicaciones informáticas, entre otros productos.
Igualmente se tienen en cuenta aquellos eventos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t>
    </r>
  </si>
  <si>
    <r>
      <rPr>
        <b/>
        <sz val="10"/>
        <color theme="1"/>
        <rFont val="Arial"/>
        <family val="2"/>
      </rPr>
      <t>Corrupción y Fraudes:</t>
    </r>
    <r>
      <rPr>
        <sz val="10"/>
        <color theme="1"/>
        <rFont val="Arial"/>
        <family val="2"/>
      </rPr>
      <t xml:space="preserve"> Los riesgos derivados de acciones u omisiones, uso indebido del poder, de los recursos o de la información, que lesionen los intereses de la empresa, para la obtención de un beneficio particular.</t>
    </r>
  </si>
  <si>
    <t>ANÁLISIS Y VALORACIÓN RIESGO INHERENTE</t>
  </si>
  <si>
    <t>7. Nivel de Probabilidad</t>
  </si>
  <si>
    <t>Tabla 4. Niveles de probabilidad para riesgos de contratación.</t>
  </si>
  <si>
    <t>Frecuencia en contratos de la misma especie</t>
  </si>
  <si>
    <t>El evento ocurre en la mayoría de los contratos.</t>
  </si>
  <si>
    <t>El evento ocurre en 6 de cada 10 contratos aproximadamente</t>
  </si>
  <si>
    <t>El evento ocurre en 4 de cada 10 contratos aproximadamente</t>
  </si>
  <si>
    <t>El evento ocurre en 2 de cada 10 contratos aproximadamente</t>
  </si>
  <si>
    <t>No sucede casi en ningún contrato</t>
  </si>
  <si>
    <t>8. Nivel de Consecuencia</t>
  </si>
  <si>
    <r>
      <t>Seleccione de la lista desplegable la consecuencia para el riesgo que esta valorando.
Para seleccionar la consecuencia(s) tenga en cuenta los siguientes lineamientos: 
1) Determine si el riesgo que está valorando es un riesgo adverso (Negativo) o es un riesgo favorable (positivo). Las opciones de la lista desplegable están clasificadas con el símbolo</t>
    </r>
    <r>
      <rPr>
        <b/>
        <sz val="10"/>
        <color theme="1"/>
        <rFont val="Arial"/>
        <family val="2"/>
      </rPr>
      <t xml:space="preserve"> (-)</t>
    </r>
    <r>
      <rPr>
        <sz val="10"/>
        <color theme="1"/>
        <rFont val="Arial"/>
        <family val="2"/>
      </rPr>
      <t xml:space="preserve"> para los riesgos adversos y </t>
    </r>
    <r>
      <rPr>
        <b/>
        <sz val="10"/>
        <color theme="1"/>
        <rFont val="Arial"/>
        <family val="2"/>
      </rPr>
      <t>(+)</t>
    </r>
    <r>
      <rPr>
        <sz val="10"/>
        <color theme="1"/>
        <rFont val="Arial"/>
        <family val="2"/>
      </rPr>
      <t xml:space="preserve"> para los riesgos favorables, de esta manera asigne el nivel teniendo en cuenta el símbolo.
</t>
    </r>
    <r>
      <rPr>
        <b/>
        <sz val="10"/>
        <color rgb="FFFF0000"/>
        <rFont val="Arial"/>
        <family val="2"/>
      </rPr>
      <t>*Nota</t>
    </r>
    <r>
      <rPr>
        <sz val="10"/>
        <color theme="1"/>
        <rFont val="Arial"/>
        <family val="2"/>
      </rPr>
      <t xml:space="preserve">: En el proceso de valoración del riesgo no es posible mezclar la valoración de impacto adversa y favorable, es decir, si se esta valorando un riesgo adverso, todos los criterios deberán evaluar la afectación negativa y si esta valorando un riesgo favorable todos los criterios deberán evaluar el efecto positivo, si no aplica algún criterio, se deberá elegir la opción "0 - No aplica"
2) Las categorías de impacto o consecuencias a valorar son tres (Financiero, plazo de ejecución del contrato y objeto contractual).
3) El análisis se deberá realizar en torno a las tres categorías anteriormente mencionadas. Para cada una de las categoría elija de la lista desplegable el nivel de impacto que podría causar la materialización del riesgo, posterior a este paso, automáticamente el formato seleccionará el mayor impacto de las tres categorías y arrojará como resultado el nivel de impacto del riesgo que se está analizando.
</t>
    </r>
    <r>
      <rPr>
        <b/>
        <sz val="10"/>
        <color rgb="FFFF0000"/>
        <rFont val="Arial"/>
        <family val="2"/>
      </rPr>
      <t>*Nota:</t>
    </r>
    <r>
      <rPr>
        <sz val="10"/>
        <color theme="1"/>
        <rFont val="Arial"/>
        <family val="2"/>
      </rPr>
      <t xml:space="preserve"> Es posible que para algunos de los riesgos, no aplique alguna de las categorías, en este caso seleccione de la lista desplegable la opción "0 - No aplica". Si alguna de las celdas para cada categoría queda vacía, no se podrá visualizar el nivel de riesgo inherente, es obligatorio seleccionar alguna opción en las tres categorías.</t>
    </r>
  </si>
  <si>
    <r>
      <rPr>
        <b/>
        <sz val="10"/>
        <color rgb="FFFF0000"/>
        <rFont val="Arial"/>
        <family val="2"/>
      </rPr>
      <t xml:space="preserve">¡IMPORTANTE!
</t>
    </r>
    <r>
      <rPr>
        <sz val="10"/>
        <color theme="1"/>
        <rFont val="Arial"/>
        <family val="2"/>
      </rPr>
      <t xml:space="preserve">      
</t>
    </r>
    <r>
      <rPr>
        <b/>
        <sz val="10"/>
        <color theme="1"/>
        <rFont val="Arial"/>
        <family val="2"/>
      </rPr>
      <t xml:space="preserve">Para los casos en los que un proyecto de crecimiento o de sostenimiento se vaya a ejecutar con un solo contrato se deberá aplicar la escala financiera de valoración de proyectos del modelo de maduración y creación de valor (Utiliza CAPEX) junto a la escala de plazo de ejecución del contrato, objeto contractual e impacto en la estrategia.
Para los casos en los que un proyecto de crecimiento o de sostenimiento se vaya a ejecutar con dos o más contratos se deberá aplicar la escala financiera de valoración que utiliza el valor del contrato, junto a la escala de plazo de ejecución del contrato, objeto contractual e impacto en la estrategia que aparece a continuación en la tabla 2.
Para el caso de contratos que no corresponden a ningún proyecto del modelo de maduración y creación de valor se deberá aplicar la escala de valoración financiera que utiliza el valor del contrato.
</t>
    </r>
  </si>
  <si>
    <t>A continuación, se presenta la tabla para valorar riesgos adversos, en esta podrá encontrar los niveles de impacto o consecuencia con la descripción respectiva para su debido análisis.</t>
  </si>
  <si>
    <t>Tabla 5. Categorías de consecuencias adversas y probabilidad para establecer nivel de riesgo</t>
  </si>
  <si>
    <t>El evento ocurre en la mayoría de los contratos</t>
  </si>
  <si>
    <t>BAJO (-5)</t>
  </si>
  <si>
    <t>MODERADO (-10)</t>
  </si>
  <si>
    <t>ALTO (-15)</t>
  </si>
  <si>
    <t>EXTREMO (-20)</t>
  </si>
  <si>
    <t>EXTREMO (-25)</t>
  </si>
  <si>
    <t>Alto
(4)</t>
  </si>
  <si>
    <t>BAJO (-4)</t>
  </si>
  <si>
    <t>MODERADO (-8)</t>
  </si>
  <si>
    <t>ALTO (-12)</t>
  </si>
  <si>
    <t>ALTO (-16)</t>
  </si>
  <si>
    <t>Medio
(3)</t>
  </si>
  <si>
    <t>BAJO (-3)</t>
  </si>
  <si>
    <t>MODERADO (-6)</t>
  </si>
  <si>
    <t>MODERADO (-9)</t>
  </si>
  <si>
    <t>EXTREMO (-15)</t>
  </si>
  <si>
    <t>Bajo
(2)</t>
  </si>
  <si>
    <t>BAJO (-2)</t>
  </si>
  <si>
    <t>ALTO (-8)</t>
  </si>
  <si>
    <t>EXTREMO (-10)</t>
  </si>
  <si>
    <t>Muy bajo
(1)</t>
  </si>
  <si>
    <t>BAJO (-1)</t>
  </si>
  <si>
    <t>MODERADO (-3)</t>
  </si>
  <si>
    <t>ALTO (-4)</t>
  </si>
  <si>
    <t>EXTREMO (-5)</t>
  </si>
  <si>
    <t>CATEGORIAS DE CONSECUENCIAS</t>
  </si>
  <si>
    <t>Muy bajo (-1)</t>
  </si>
  <si>
    <t>Bajo  (-2)</t>
  </si>
  <si>
    <t>Medio (-3)</t>
  </si>
  <si>
    <t>Alto (-4)</t>
  </si>
  <si>
    <t>Muy alto (-5)</t>
  </si>
  <si>
    <t>FINANCIERO</t>
  </si>
  <si>
    <t>Afectación adversa
del 0% al 1% del valor del contrato</t>
  </si>
  <si>
    <t>Afectación adversa
del 1% al 2% del valor del contrato</t>
  </si>
  <si>
    <t>Afectación adversa
del 2% al 5% del valor del contrato</t>
  </si>
  <si>
    <t>Afectación adversa
del 5% al 10% del valor del contrato</t>
  </si>
  <si>
    <t>Afectación adversa Mayor al 10% del valor del contrato</t>
  </si>
  <si>
    <t>FINANCIERO                                 
(Aplica solo para un proyecto –  un contrato) del Modelo de maduración y creación de valor</t>
  </si>
  <si>
    <t>Desviación del 1% en el CAPEX</t>
  </si>
  <si>
    <t>Desviación del 1% al 2% en el CAPEX</t>
  </si>
  <si>
    <t>Sobrecosto del 2% al 5% en el CAPEX</t>
  </si>
  <si>
    <t>Sobrecosto del 5% al 10% en el CAPEX</t>
  </si>
  <si>
    <t>Sobrecosto mayor del 10% en el CAPEX o afectación del OPEX no prevista.</t>
  </si>
  <si>
    <t>PLAZO DE EJECUCIÓN DEL CONTRATO</t>
  </si>
  <si>
    <t>Afecta hasta el 1% del plazo de ejecución del contrato.</t>
  </si>
  <si>
    <t>Afecta entre el 1% y el 2% del plazo de ejecución del contrato.</t>
  </si>
  <si>
    <t>Afecta entre el 2% y el 5% del plazo de ejecución del contrato.</t>
  </si>
  <si>
    <t>Afecta entre el 5% y el 10% del plazo de ejecución del contrato.</t>
  </si>
  <si>
    <t>Afecta superior al 10% del plazo de ejecución del contrato.</t>
  </si>
  <si>
    <t>OBJETO CONTRACTUAL</t>
  </si>
  <si>
    <t>El contrato se cumpliría con alguna dificultad frente a lo esperado inferior al 1% respecto de la ejecución del contrato.</t>
  </si>
  <si>
    <t>El contrato se cumpliría con un grado de dificultad bajo frente a las métricas y parámetros pactados, entre un 1% y hasta un 5%.</t>
  </si>
  <si>
    <t>El contrato se cumpliría con afectación moderada en cuanto a las métricas y parámetros pactados entre un 5% y hasta un 10%.</t>
  </si>
  <si>
    <t>El contrato se cumpliría con impacto grave y significativo en las métricas esperadas frente a los parámetros pactados entre un 10% y un 15%.</t>
  </si>
  <si>
    <t xml:space="preserve">Perturba la ejecución del contrato de manera grave imposibilitando la consecución del objeto contractual impacto negativo en las métricas esperadas frente a los parámetros pactados superiores al 15%. </t>
  </si>
  <si>
    <t>A continuación, se presenta la tabla para valorar riesgos favorables, en esta podrá encontrar los niveles de impacto o consecuencia con la descripción respectiva para su debido análisis.</t>
  </si>
  <si>
    <t>Tabla 6. Categorías de consecuencias favorables y probabilidad para establecer nivel de riesgo</t>
  </si>
  <si>
    <t>Puede presentarse más de 6 veces al año</t>
  </si>
  <si>
    <t>Puede presentarse al menos 6 veces al año</t>
  </si>
  <si>
    <t>Puede presentarse 4 o 5 veces al año</t>
  </si>
  <si>
    <t>Puede presentarse de 2 a 3 a veces al año</t>
  </si>
  <si>
    <t>Puede presentarse menos de 1 vez al año</t>
  </si>
  <si>
    <t>Beneficio del 0% al 1% del valor del contrato</t>
  </si>
  <si>
    <t>Beneficio del 1% al 2% del valor del contrato</t>
  </si>
  <si>
    <t>Beneficio del 2% al 5% del valor del contrato</t>
  </si>
  <si>
    <t>Beneficio del 5% al 10% del valor del contrato</t>
  </si>
  <si>
    <t>Beneficio Mayor al 10% del valor del contrato</t>
  </si>
  <si>
    <t>Mejora en 1% del plazo de ejecución del contrato.</t>
  </si>
  <si>
    <t>Mejora entre el 1% y el 2% del plazo de ejecución del contrato.</t>
  </si>
  <si>
    <t>Mejora entre el 2% y el 5% del plazo de ejecución del contrato.</t>
  </si>
  <si>
    <t>Mejora entre el 5% y el 10% del plazo de ejecución del contrato</t>
  </si>
  <si>
    <t>Mejora superior al 10% del plazo de ejecución del contrato.</t>
  </si>
  <si>
    <t>El contrato se cumpliría con alguna mejora frente a lo esperado inferior al 1% respecto de la ejecución del contrato.</t>
  </si>
  <si>
    <t>El contrato se cumpliría con mejores métricas de las esperadas frente a los parámetros pactados entre un 1% y hasta un 5%.</t>
  </si>
  <si>
    <t>El contrato se cumpliría con mejores métricas de las esperadas frente a los parámetros pactados entre un 5% y un 10%.</t>
  </si>
  <si>
    <t>El contrato se cumpliría con mejores métricas de las esperadas frente a los parámetros pactados entre un 10% y un 15%.</t>
  </si>
  <si>
    <t>El contrato se cumpliría con mejores métricas de las esperadas frente a los parámetros pactados mayores a un 15%.</t>
  </si>
  <si>
    <t>9. Nivel de riesgo inherente</t>
  </si>
  <si>
    <r>
      <t xml:space="preserve">Este es un campo automático, su resultado dependerá de la probabilidad e impacto seleccionados en los campos anteriores, no ejecute ninguna acción en este campo.
Recuerde que para que se obtenga el nivel de riesgo inherente debe seleccionar el impacto y la consecuencia en sus tres categorías, de lo contrario no se podrá conocer o visualizar el nivel.
</t>
    </r>
    <r>
      <rPr>
        <sz val="10"/>
        <color rgb="FFFF0000"/>
        <rFont val="Arial"/>
        <family val="2"/>
      </rPr>
      <t>*</t>
    </r>
    <r>
      <rPr>
        <sz val="10"/>
        <color theme="1"/>
        <rFont val="Arial"/>
        <family val="2"/>
      </rPr>
      <t>Riesgo Inherente: Riesgo propio de las actividades sin tener en cuenta los controles o acciones de respuesta como medidas de mitigación.</t>
    </r>
  </si>
  <si>
    <t>PLAN DE RESPUESTA Y TRATAMIENTO AL RIESGO</t>
  </si>
  <si>
    <t>10. Asignación ¿A quien se le asigna el riesgo?</t>
  </si>
  <si>
    <t>11. Tipo de tratamiento</t>
  </si>
  <si>
    <t>Riesgo Adverso</t>
  </si>
  <si>
    <t>Seleccione el tipo de tratamiento de la lista desplegable:</t>
  </si>
  <si>
    <r>
      <rPr>
        <b/>
        <sz val="10"/>
        <color theme="1"/>
        <rFont val="Arial"/>
        <family val="2"/>
      </rPr>
      <t>Evitar el riesgo:</t>
    </r>
    <r>
      <rPr>
        <sz val="10"/>
        <color theme="1"/>
        <rFont val="Arial"/>
        <family val="2"/>
      </rPr>
      <t xml:space="preserve"> Esta alternativa consiste en decidir no suscribir el contrato principalmente porque se supera la máxima capacidad de riesgo estimada, en la medida en que, de acuerdo con las valoraciones de los riesgos, los efectos adversos resultan mucho mayores que los beneficios que se podrían dar con la suscripción del contrato en el contexto en el que se ha previsto. En dicho caso habría que evaluar nuevamente si se deberían ajustar las condiciones del contrato, cambiando el alcance, añadiendo tiempo, recursos u otros factores que permitan que se pueda llevar a cabo el objetivo.</t>
    </r>
  </si>
  <si>
    <r>
      <rPr>
        <b/>
        <sz val="10"/>
        <color theme="1"/>
        <rFont val="Arial"/>
        <family val="2"/>
      </rPr>
      <t>Retirar la fuente del riesgo:</t>
    </r>
    <r>
      <rPr>
        <sz val="10"/>
        <color theme="1"/>
        <rFont val="Arial"/>
        <family val="2"/>
      </rPr>
      <t xml:space="preserve"> Consiste en retirar o eliminar la fuente del riesgo, de tal forma que éste desaparece, no obstante, se podrían generar nuevos riesgos, que igualmente deberán ser valorados.
A diferencia de evitar el riesgo, retirar la fuente tiene que ver con sustituir o cambiar cierta condición, herramienta, material, recurso, etc., (fuente) que por el impacto que puede desencadenar el riesgo, sería altamente perjudicial para la organización, en este sentido al cambiar dicha condición por otra que no impacta altamente a la empresa, se podrá continuar con el desarrollo de la actividad o con el desarrollo del contrato, situación que no ocurre cuando se elige la opción evitar el riesgo, donde se decide principalmente no suscribir el contrato.</t>
    </r>
  </si>
  <si>
    <r>
      <rPr>
        <b/>
        <sz val="10"/>
        <color theme="1"/>
        <rFont val="Arial"/>
        <family val="2"/>
      </rPr>
      <t>Aceptar el riesgo:</t>
    </r>
    <r>
      <rPr>
        <sz val="10"/>
        <color theme="1"/>
        <rFont val="Arial"/>
        <family val="2"/>
      </rPr>
      <t xml:space="preserve"> Cuando el riesgo no puede ser evitado ni compartido o el costo de implementar otro mecanismo resultare muy alto o porque el nivel del riesgo no implica la necesidad de un tratamiento, este podrá ser aceptado. Aceptar el riesgo debe ser una decisión informada de los responsables, ya que en el análisis que se realiza, se determina que el riesgo es tolerable y se encuentra dentro del apetito, en dicho caso se contará con financiación o gestión de tareas internas o asociadas al contratista que permitirán tener un margen de maniobra ante el riesgo.
Se debe mantener durante las etapas contractuales y de terminación, la revisión y el monitoreo sobre los riesgos que han sido aceptados, con el fin de seguir su comportamiento y evolución para tomar las acciones pertinentes de manera oportuna.</t>
    </r>
  </si>
  <si>
    <r>
      <rPr>
        <b/>
        <sz val="10"/>
        <color theme="1"/>
        <rFont val="Arial"/>
        <family val="2"/>
      </rPr>
      <t>Cambiar la probabilidad de ocurrencia del riesgo:</t>
    </r>
    <r>
      <rPr>
        <sz val="10"/>
        <color theme="1"/>
        <rFont val="Arial"/>
        <family val="2"/>
      </rPr>
      <t xml:space="preserve"> Esta opción de tratamiento consiste en modificar la probabilidad de ocurrencia a través de planes de prevención, adopción de buenas prácticas de las áreas asociadas al objeto contractual, implementación de sistemas de gestión de calidad, de información o de cualquier acción que procure la disminución de la probabilidad de que algún evento se presente.
El propósito de este tratamiento es implantar medidas que busquen anticiparse e impidan que la fuente se convierta en un riesgo, es decir, el objetivo principal será reducir la probabilidad de que se materialice el riesgo, la medida dependerá de cada riesgo en particular, el costo beneficio, la viabilidad técnica, entre otros aspectos que pueden ser analizados.</t>
    </r>
  </si>
  <si>
    <r>
      <rPr>
        <b/>
        <sz val="10"/>
        <color theme="1"/>
        <rFont val="Arial"/>
        <family val="2"/>
      </rPr>
      <t>Cambiar las consecuencias del riesgo:</t>
    </r>
    <r>
      <rPr>
        <sz val="10"/>
        <color theme="1"/>
        <rFont val="Arial"/>
        <family val="2"/>
      </rPr>
      <t xml:space="preserve"> Cuando la probabilidad de ocurrencia no se puede cambiar, se debe considerar la opción de modificar las consecuencias a través de planes de contingencia, de continuidad de negocios, en los términos y condiciones del contrato, inspecciones y revisiones para validar el cumplimiento del contrato y acciones de apremio para lograr el cumplimiento de este.</t>
    </r>
  </si>
  <si>
    <r>
      <t xml:space="preserve">Cambiar la probabilidad e impacto del riesgo: </t>
    </r>
    <r>
      <rPr>
        <sz val="10"/>
        <color theme="1"/>
        <rFont val="Arial"/>
        <family val="2"/>
      </rPr>
      <t>Consiste en utilizar tratamientos simultáneos que ayudan a disminuir tanto la probabilidad como el impacto que puede causar la materialización del riesgo, los cuales fueron explicados en los campos anteriores.</t>
    </r>
  </si>
  <si>
    <r>
      <rPr>
        <b/>
        <sz val="10"/>
        <color theme="1"/>
        <rFont val="Arial"/>
        <family val="2"/>
      </rPr>
      <t>Escalar la decisión sobre el riesgo:</t>
    </r>
    <r>
      <rPr>
        <sz val="10"/>
        <color theme="1"/>
        <rFont val="Arial"/>
        <family val="2"/>
      </rPr>
      <t xml:space="preserve"> En primera instancia se deberá comunicar e informar al comité operativo de contratación, sobre aquellos riesgos que posterior a ser valorados y evaluados hasta conocer su riesgo residual, queden en un nivel de riesgo que supera la capacidad de la organización, es decir aquellos que quedan en nivel "extremo", y que de acuerdo al análisis no es posible implementar tratamientos de forma directa para reducir su nivel riesgo. Este comité analizará el evento y determinará si se debe escalar la decisión al comité de presidencia y/o junta directiva.</t>
    </r>
  </si>
  <si>
    <t>Riesgo Favorable</t>
  </si>
  <si>
    <r>
      <rPr>
        <b/>
        <sz val="10"/>
        <color theme="1"/>
        <rFont val="Arial"/>
        <family val="2"/>
      </rPr>
      <t>Aceptar:</t>
    </r>
    <r>
      <rPr>
        <sz val="10"/>
        <color theme="1"/>
        <rFont val="Arial"/>
        <family val="2"/>
      </rPr>
      <t xml:space="preserve"> Se aceptará y aprovechará la oportunidad si se presenta, no se tomará ninguna acción adicional al seguimiento y monitoreo del riesgo y su contexto, ya que en un entorno dinámico el riesgo puede variar y puede aumentar el impacto o la probabilidad de que se materialice para la organización, también se podrá tomar la decisión de aceptar para aquellos riesgos que sin importar los planes y controles que se apliquen no se modificará la probabilidad de ocurrencia y/o la consecuencia.</t>
    </r>
  </si>
  <si>
    <r>
      <rPr>
        <b/>
        <sz val="10"/>
        <color theme="1"/>
        <rFont val="Arial"/>
        <family val="2"/>
      </rPr>
      <t>Mejorar:</t>
    </r>
    <r>
      <rPr>
        <sz val="10"/>
        <color theme="1"/>
        <rFont val="Arial"/>
        <family val="2"/>
      </rPr>
      <t xml:space="preserve"> Esta estrategia consiste aceptar el riesgo y en realizar acciones que permitan modificar el “tamaño” de la oportunidad, aumentando la probabilidad y/o los impactos positivos, identificando y maximizando las fuerzas impulsoras clave de estos riesgos de impacto positivo. Busca facilitar o fortalecer la causa de la oportunidad y dirigirse de forma proactiva a las condiciones que la disparan y refuerzan. También puede centrarse en las fuerzas impulsoras del impacto, buscando aumentar la susceptibilidad del contrato a la oportunidad.</t>
    </r>
  </si>
  <si>
    <r>
      <rPr>
        <b/>
        <sz val="10"/>
        <color theme="1"/>
        <rFont val="Arial"/>
        <family val="2"/>
      </rPr>
      <t>Compartir:</t>
    </r>
    <r>
      <rPr>
        <sz val="10"/>
        <color theme="1"/>
        <rFont val="Arial"/>
        <family val="2"/>
      </rPr>
      <t xml:space="preserve"> Aprovechar las sinergias a través de un tercero mejor capacitado para capturar las oportunidades del mercado, en beneficio del contrato.</t>
    </r>
  </si>
  <si>
    <r>
      <rPr>
        <b/>
        <sz val="10"/>
        <color theme="1"/>
        <rFont val="Arial"/>
        <family val="2"/>
      </rPr>
      <t>Aprovechar la oportunidad:</t>
    </r>
    <r>
      <rPr>
        <sz val="10"/>
        <color theme="1"/>
        <rFont val="Arial"/>
        <family val="2"/>
      </rPr>
      <t xml:space="preserve"> esta estrategia consiste en aceptar el riesgo y buscar eliminar la incertidumbre asociada al mismo, asegurando que la oportunidad definitivamente se concrete. Aprovechar las oportunidades requiere directamente asignar mayores recursos al proceso para reducir el tiempo hasta la conclusión del objetivo, o para ofrecer una mejor calidad que la planificada originalmente.</t>
    </r>
  </si>
  <si>
    <r>
      <rPr>
        <b/>
        <sz val="10"/>
        <color theme="1"/>
        <rFont val="Arial"/>
        <family val="2"/>
      </rPr>
      <t>Escalar la decisión sobre el riesgo:</t>
    </r>
    <r>
      <rPr>
        <sz val="10"/>
        <color theme="1"/>
        <rFont val="Arial"/>
        <family val="2"/>
      </rPr>
      <t xml:space="preserve"> En primera instancia se deberá comunicar e informar al comité operativo de contratación, sobre aquellos riesgos que posterior a ser valorados y evaluados hasta conocer su riesgo residual, queden en un nivel de riesgo en el que no se pueda implementar acciones de forma directa para tratar el riesgo. Este comité analizará el evento y determinará si se debe escalar la decisión al comité de presidencia y/o junta directiva.</t>
    </r>
  </si>
  <si>
    <t>12. Descripción del tratamiento sugerido</t>
  </si>
  <si>
    <t>Ingrese en este campo la descripción detallada del tratamiento indicando cómo se va a llevar a cabo, de acuerdo a lo analizado y seleccionado para el riesgo identificado.</t>
  </si>
  <si>
    <t>13. ¿Qué variable del riesgo se impacta con el tratamiento sugerido?</t>
  </si>
  <si>
    <t>En este campo, considere el tipo de tratamiento seleccionado en el numeral 11. Dependiendo de esto y del análisis efectuado, el tratamiento seleccionado puede ayudar a disminuir la probabilidad, la consecuencia o impacto, o probabilidad e impacto al mismo tiempo. Si el tratamiento no está relacionado con ninguna de las tres opciones mencionadas anteriormente, seleccione "No aplica".</t>
  </si>
  <si>
    <t>14. ¿Cuántos niveles disminuye o aumenta en la escala?</t>
  </si>
  <si>
    <t>En este campo, y de acuerdo a lo analizado por el equipo estructurador y a los lineamientos establecidos en el manual de riesgos de contratación, se deberá establecer la cantidad de niveles que disminuirá la escala ya sea solo de probabilidad, impacto, o probabilidad e impacto al mismo tiempo, como resultado de aplicar el tratamiento. Las opciones son: 0, 1 y hasta máximo 2 niveles.
Por ejemplo: Sin un riesgo adverso, inicialmente se valoró con probabilidad inherente en nivel "Muy alto" y se selecciona un tratamiento que va a ayudar a reducir la probabilidad de que el riesgo se materialice, es decir de que el evento identificado tenga menos posibilidades de que se presente, se debe analizar con respecto a ese tratamiento que tanto ayuda a que eso no suceda y dependiendo del análisis de que tan efectivo y fuerte puede ser el control o tratamiento seleccionado revisar cuantos niveles ayuda a reducir, que puede ser 1 o hasta máximo 2 niveles, si se eligiera que ayuda a disminuir 1 nivel el riesgo residual en su variable probabilidad bajaría al nivel "Alto"</t>
  </si>
  <si>
    <t>15. Responsable de aplicar el tratamiento</t>
  </si>
  <si>
    <t>Este campo es automático y se autocompleta con la información establecida en el numeral 10.</t>
  </si>
  <si>
    <t>ANÁLISIS VALORACIÓN RIESGO RESIDUAL</t>
  </si>
  <si>
    <t>16. Nivel de Probabilidad</t>
  </si>
  <si>
    <r>
      <t xml:space="preserve">Este campo es automático.
Posterior al análisis realizado por el equipo estructurador del proceso de contratación sobre el tratamiento al riesgo seleccionado y la designación del número de niveles que se disminuirá en la escala de probabilidad, este campo automáticamente mostrará el nivel de probabilidad residual que resulta de la aplicación o no del tratamiento(s).
</t>
    </r>
    <r>
      <rPr>
        <b/>
        <sz val="10"/>
        <color rgb="FFFF0000"/>
        <rFont val="Arial"/>
        <family val="2"/>
      </rPr>
      <t>*Nota:</t>
    </r>
    <r>
      <rPr>
        <sz val="10"/>
        <color theme="1"/>
        <rFont val="Arial"/>
        <family val="2"/>
      </rPr>
      <t xml:space="preserve"> La disminución del nivel de probabilidad en la escala, se podrá dar máximo dos posiciones.</t>
    </r>
  </si>
  <si>
    <t xml:space="preserve">17. Nivel de Consecuencia  </t>
  </si>
  <si>
    <r>
      <t xml:space="preserve">Este campo es automático.
Posterior al análisis realizado por el equipo estructurador del proceso de contratación sobre el tratamiento al riesgo seleccionado y la designación del número de niveles que se disminuirá en la escala de impacto, este campo automáticamente mostrará el nivel de impacto residual que resulta de la aplicación o no del tratamiento(s).
</t>
    </r>
    <r>
      <rPr>
        <b/>
        <sz val="10"/>
        <color rgb="FFFF0000"/>
        <rFont val="Arial"/>
        <family val="2"/>
      </rPr>
      <t>*Nota</t>
    </r>
    <r>
      <rPr>
        <sz val="10"/>
        <color theme="1"/>
        <rFont val="Arial"/>
        <family val="2"/>
      </rPr>
      <t>: La disminución del nivel de impacto en la escala, se podrá dar máximo dos posiciones.</t>
    </r>
  </si>
  <si>
    <t>18. Nivel de riesgo residual</t>
  </si>
  <si>
    <r>
      <t xml:space="preserve">Este es un campo automático, su resultado dependerá de la probabilidad e impacto resultante del análisis del tratamiento(s) seleccionados en los campos anteriores, no ejecute ninguna acción en este campo.
</t>
    </r>
    <r>
      <rPr>
        <b/>
        <sz val="11"/>
        <color rgb="FFFF0000"/>
        <rFont val="Arial"/>
        <family val="2"/>
      </rPr>
      <t>*</t>
    </r>
    <r>
      <rPr>
        <sz val="10"/>
        <color theme="1"/>
        <rFont val="Arial"/>
        <family val="2"/>
      </rPr>
      <t>Riesgo Residual: Riesgo resultante después de que operen y se implementen los controles o acciones de respuesta.</t>
    </r>
  </si>
  <si>
    <t>MONITOREO Y REVISIÓN</t>
  </si>
  <si>
    <t>19. Observaciones del monitoreo</t>
  </si>
  <si>
    <r>
      <t xml:space="preserve">Este campo es para uso de la interventoría y/o supervisión del contrato.
Este campo se deberán diligenciar en los periodos que contractualmente se pactó el seguimiento al contrato. El objetivo principal será realizar la descripción de la evolución de cada riesgo, así como establecer cuales han sido las modificaciones que se han llevado a cabo, producto de la revisión y análisis de cada uno de estos. 
Entendiendo la dinámica del contrato, en los seguimientos deberá revisarse si el riesgo se ha materializado, si ese fuera el caso verificar que acciones se han tomado y digitarlas en estos campos, de igual forma revisar si se han producido cambios en la probabilidad e impacto de cada riesgo, que pudiera generar cambios en el nivel de riesgo, así como verificar la efectividad de los controles y tratamientos que se han aplicado sobre el riesgo, señalando que ha sucedido. 
Cada vez que se realice el seguimiento y monitoreo a la matriz de riesgos, se deberán realizar  las anotaciones correspondientes en este campo.
</t>
    </r>
    <r>
      <rPr>
        <b/>
        <sz val="10"/>
        <color rgb="FFFF0000"/>
        <rFont val="Arial"/>
        <family val="2"/>
      </rPr>
      <t>*Nota</t>
    </r>
    <r>
      <rPr>
        <sz val="10"/>
        <color theme="1"/>
        <rFont val="Arial"/>
        <family val="2"/>
      </rPr>
      <t>: El formato matriz de riesgos contractuales, tiene a disposición hojas auxiliares nombradas como “Matriz de seguimiento” que se deberán ir diligenciando en la medida que se realizan los seguimientos y monitoreos a los riesgos asignados contractualmente. Cada vez que se realiza un nuevo seguimiento, se debe realizar el seguimiento sobre una nueva hoja, para de esta forma dejar la trazabilidad de lo que se ha observado y ajustado en los anteriores seguimientos.</t>
    </r>
  </si>
  <si>
    <t>Fecha del seguimiento.</t>
  </si>
  <si>
    <t>Digite la fecha en la que se realiza el seguimiento.</t>
  </si>
  <si>
    <r>
      <t xml:space="preserve">GESTIÓN DE ABASTECIMIENTO
</t>
    </r>
    <r>
      <rPr>
        <sz val="12"/>
        <color theme="1"/>
        <rFont val="Arial"/>
        <family val="2"/>
      </rPr>
      <t xml:space="preserve"> Matriz de Riesgos Contractuales</t>
    </r>
  </si>
  <si>
    <t xml:space="preserve">HOJA DE CONTEXTO </t>
  </si>
  <si>
    <t>Registre las respuestas a las diferentes preguntas. 
Algunas de las preguntas no aplican para todo tipo de contratos, en dicho caso, en los campos de respuesta se deberá digitar "No aplica".
Esta información asociada al contexto de contrato no es exhaustiva, ni abarca la totalidad de la realidad del contrato, pero busca establecer el panorama general para conocer el entorno el que se desarrollará el contrato.</t>
  </si>
  <si>
    <t>ÍTEM</t>
  </si>
  <si>
    <t>RESPUESTA</t>
  </si>
  <si>
    <t>INFORMACIÓN GENERAL SOBRE EL CONTRATO</t>
  </si>
  <si>
    <t>¿Cuál es el nombre del proyecto? (Digite el nombre oficial o nombre con el cual se identifica el proyecto).</t>
  </si>
  <si>
    <t>Digite el número del proceso o número de contrato si ya está identificado, de lo contrato, digite "No aplica".</t>
  </si>
  <si>
    <t>No aplica</t>
  </si>
  <si>
    <t>¿Cuál es el Objeto Contractual? (Digite la respuesta).</t>
  </si>
  <si>
    <t>Los documentos de estructuración con las especificaciones técnicas del contrato (condiciones generales y condiciones específicas), que sirven de base para el análisis de riesgos, corresponden con los que se tenían preparados para el día: (Digite la fecha).</t>
  </si>
  <si>
    <t>Modalidad de selección.</t>
  </si>
  <si>
    <t>Tipo de Contrato.</t>
  </si>
  <si>
    <t>¿Cuál es el Plazo del contrato? (Digite solamente el valor numérico del plazo de ejecución del contrato en número de meses).</t>
  </si>
  <si>
    <t>¿Cuál es el Plazo liquidación del contrato?.</t>
  </si>
  <si>
    <t>Describa brevemente las fases, etapas o hitos que debe cumplir el contrato, si los tiene.</t>
  </si>
  <si>
    <t>No Aplica</t>
  </si>
  <si>
    <t>COP</t>
  </si>
  <si>
    <t>Valor estimado del contrato (Digite el valor en pesos colombianos e incluyendo impuestos). En caso en que el precio del contrato este pactado integralmente en dólares indíquelo en el siguiente renglón.</t>
  </si>
  <si>
    <t>Sistema de precios (Seleccione de la lista desplegable, si es un sistema mixto, descríbalo en la siguiente casilla complementando la forma de pago que se anota).</t>
  </si>
  <si>
    <t xml:space="preserve">Describa cómo se realizarán los pagos.
En caso de que se trate de un contrato con diversas formas de pago o al que le apliquen los siguientes componentes por favor detállelos. </t>
  </si>
  <si>
    <t>Precios unitarios (APU)  (Sumatoria total de los P x Q, Digite el valor en pesos colombianos)</t>
  </si>
  <si>
    <t>Componentes a precio global (Digite los valores en pesos colombianos)</t>
  </si>
  <si>
    <t>Impuestos de valor agregado locales ( validar si el contrato se ejecuta en zonas exentas)  (Digite el valor en pesos colombianos, asignado en la oferta económica)</t>
  </si>
  <si>
    <t>Impuestos particulares (Tasas regionales, estampillas, y similares)  (Digite el valor en pesos colombianos, asignado en la oferta económica)</t>
  </si>
  <si>
    <t>Manejo de Anticipo.</t>
  </si>
  <si>
    <t>Porcentaje de anticipo del valor inicial del contrato. (Digite la respuesta)</t>
  </si>
  <si>
    <t>Forma de amortización. (Digite la respuesta)</t>
  </si>
  <si>
    <t>% otorgado por anticipo de cada acta de pago. (Digite la respuesta)</t>
  </si>
  <si>
    <t>Cláusula penal de apremio.</t>
  </si>
  <si>
    <t>Si</t>
  </si>
  <si>
    <t>Valor Cláusula penal. (Digite la respuesta)</t>
  </si>
  <si>
    <t>Cláusula penal pecuniaria por incumplimiento total.</t>
  </si>
  <si>
    <t>Valor Cláusula penal o modo de estimarla. (Digite la respuesta)</t>
  </si>
  <si>
    <t>Se trata de un contrato: Que viene de un proceso declarado desierto, es un contrato inicial, modificación, otro sí, (Descríbalo en un breve párrafo).</t>
  </si>
  <si>
    <t>Si en anteriores oportunidades el proceso no se ha podido realizar o adjudicar, qué ajustes se realizaron.  (Descríbalo en un breve párrafo, en especial si es un contrato para recuperarse de un incumplimiento).</t>
  </si>
  <si>
    <t>Seleccione el tipo de persona con la que se celebrará el contrato.
(Seleccione de la lista desplegable).</t>
  </si>
  <si>
    <t>Persona jurídica</t>
  </si>
  <si>
    <t>¿Quién estará a cargo del control de la ejecución de los contratos? (Seleccione de la lista desplegable, según matriz de criterios de complejidad para interventoría).</t>
  </si>
  <si>
    <t>Interventoría externa</t>
  </si>
  <si>
    <t>CONTEXTO Y CONDICIONES JURÍDICAS Y LEGALES DEL CONTRATO</t>
  </si>
  <si>
    <t xml:space="preserve">Ley aplicable o jurisdicción del contrato. En un breve párrafo describa en qué país y estado tendrá por domicilio el contrato, y si esta sometido a un régimen de contratación privada, pública o mixta. </t>
  </si>
  <si>
    <t>Colombia</t>
  </si>
  <si>
    <t>Anote aquí otros aspectos jurídicos o legales que sean relevantes en su criterio.</t>
  </si>
  <si>
    <t>CONTEXTO Y CONDICIONES  - NORMATIVAS</t>
  </si>
  <si>
    <t>Describa si en el marco del contrato han instaurado nuevas normas, leyes, decretos, actos administrativos o políticas que deben ser observadas en el desarrollo del contrato.</t>
  </si>
  <si>
    <t>CONTEXTO Y CONDICIONES DE LAS OBLIGACIONES DEL CONTRATO</t>
  </si>
  <si>
    <t>Describa las obligaciones post contractuales tales como de calidad, estabilidad, garantía de servicio, buen funcionamiento, disposición final, etc.</t>
  </si>
  <si>
    <r>
      <t xml:space="preserve">Tipo de obligación (Seleccione de la lista desplegable). 
Obligación de resultado: </t>
    </r>
    <r>
      <rPr>
        <sz val="11"/>
        <color theme="1"/>
        <rFont val="Arial"/>
        <family val="2"/>
      </rPr>
      <t xml:space="preserve">El contratista se compromete al cumplimiento de un determinado objetivo, asegurando al contratante el logro de la consecuencia o resultado tenido en miras al contratar.
</t>
    </r>
    <r>
      <rPr>
        <b/>
        <sz val="11"/>
        <color theme="1"/>
        <rFont val="Arial"/>
        <family val="2"/>
      </rPr>
      <t xml:space="preserve">Obligación de medio:  </t>
    </r>
    <r>
      <rPr>
        <sz val="11"/>
        <color theme="1"/>
        <rFont val="Arial"/>
        <family val="2"/>
      </rPr>
      <t>El contratista compromete su actividad diligente que, razonablemente, tiende al logro del resultado esperado, pero éste no es asegurado ni prometido.</t>
    </r>
  </si>
  <si>
    <t>Obligación de resultado</t>
  </si>
  <si>
    <t>Si se requiere de licencias, permisos o trámites ante terceros tales como adquisición de predios, temas ambientales, reconocer derechos de autor o de terceros en general, permisos de manejo de tráfico, licencias de construcción, autorizaciones, traslados o intersección con redes de servicios públicos o de transporte de hidrocarburos y similares.  Descríbalo brevemente en un párrafo.</t>
  </si>
  <si>
    <t>CONTEXTO Y CONDICIONES PROVEEDORES</t>
  </si>
  <si>
    <t>Las reglas de participación están abiertas para proveedores de origen nacional, extranjeros o ambos. (Descríbalo brevemente).</t>
  </si>
  <si>
    <t>Indique si se han tenido experiencias o desarrollos contractuales con los proveedores que podrían hacer una oferta.</t>
  </si>
  <si>
    <t>CONTEXTO Y CONDICIONES MACROECONÓMICAS</t>
  </si>
  <si>
    <t>¿De acuerdo al plazo del contrato se deben tener en cuenta las fluctuaciones del IPC (Índice de precios del consumidor), IPCP (Índice de precios de construcción pesada), USD(Dólar), SMMLV (Salario mínimo mensual legal vigente)?.</t>
  </si>
  <si>
    <t>¿Se deben tener en cuenta los cambios en precios de combustibles?.</t>
  </si>
  <si>
    <t>No</t>
  </si>
  <si>
    <t>Los bienes y servicios que se requieren para ejecutar el contrato son de fácil consecución en el mercado, o se prevén fallos, defectos o externalidades de oferta y demanda.</t>
  </si>
  <si>
    <t>¿Se requieren trámites de importación o exportación?.</t>
  </si>
  <si>
    <t>¿Los países de origen de los bienes y servicios que se requieren, tienen alguna restricción para hacer despachos hacia Colombia debido a condiciones geopolíticas?.</t>
  </si>
  <si>
    <t>CONTEXTO Y CONDICIONES GEOGRÁFICAS Y DE ACCESO (solo para actividades y contratos en los que aplique)</t>
  </si>
  <si>
    <t>¿Cuál es la ubicación geográfica, donde se desarrollará el contrato?.
 (Describa brevemente el lugar, país, región, municipio, dirección, puntos de referencia).</t>
  </si>
  <si>
    <t>¿Qué tipo de lugar es?, despoblado, urbano, rural, otro. (Digite la respuesta).</t>
  </si>
  <si>
    <t>Describa las condiciones o estado de acceso al lugar: vías nacionales, regionales, vías secundarias, zonas con acceso fluvial o marítimo. 
(Solo si es relevante para el proceso de contratación).</t>
  </si>
  <si>
    <t>Vías nacionales</t>
  </si>
  <si>
    <t>¿En el lugar hay fácil acceso para ingresar materiales, bienes, insumos, maquinaria, equipos y en general aquello que se requiere para el desarrollo y cumplimiento de las obligaciones contractuales? (Digite la respuesta).</t>
  </si>
  <si>
    <t>CONTEXTO Y CONDICIONES OPERATIVAS (solo para actividades y contratos en los que aplique)</t>
  </si>
  <si>
    <t>Describir si este contrato interactúa con otros contratos - Interfaces (diferentes a la interventoría).</t>
  </si>
  <si>
    <t>Describa si se tienen demoliciones previstas, y qué tipo de demolición se utilizará en el proyecto.</t>
  </si>
  <si>
    <t>¿Hay propiedades adyacentes?.</t>
  </si>
  <si>
    <t>¿Posterior a la demolición quedan predios colindantes?.</t>
  </si>
  <si>
    <t>Describa que tipo de propiedades o lugares se encuentran cerca del proyecto (Casas o edificios, Iglesias, comercio, clínicas u hospitales, estaciones de servicio de combustible, bodegas).</t>
  </si>
  <si>
    <t>Describa si a raíz de la ejecución del contrato se van a ver afectadas vías y espacios públicos.</t>
  </si>
  <si>
    <t>Diseños ¿Quién es el responsable de construir y entregar los diseños?.
(Digite la respuesta).</t>
  </si>
  <si>
    <t>Contratista</t>
  </si>
  <si>
    <t>Identifique y describa brevemente el nivel de ingeniería con el que se cuenta para adelantar el proceso de contratación (primaria, secundaria, básica, de detalle).</t>
  </si>
  <si>
    <t>¿Cómo se resolvería alguna incompatibilidad que se encuentre en el diseño con respecto a la realidad? (Digite la respuesta).</t>
  </si>
  <si>
    <t>¿Quién hace los ajustes del diseño, si llegase a presentarse una necesidad? (Digite la respuesta).</t>
  </si>
  <si>
    <t>¿Quién corre con los costos de modificar eventualmente los diseños? 
(Digite la respuesta).</t>
  </si>
  <si>
    <t>CONTEXTO Y CONDICIONES - GESTIÓN AMBIENTAL (solo para actividades y contratos en los que aplique)</t>
  </si>
  <si>
    <t>Describa si se requiere licencia(s) o permiso(s) ambiental y mencione quién esta a cargo o es el responsable de tramitar la obtención de estas.</t>
  </si>
  <si>
    <t>Describa quién sería el responsable de realizar y tramitar la modificación de las licencias / permisos.</t>
  </si>
  <si>
    <t>Si hay lugar a que puedan darse compensaciones a cargo del contratista, descríbalas.</t>
  </si>
  <si>
    <t>Si hay lugar a que puedan darse compensaciones a cargo del contratante, descríbalas.</t>
  </si>
  <si>
    <t>Describa si se requiere intervenir cuerpos de agua.</t>
  </si>
  <si>
    <t>Describa si los trabajos pueden afectar individuos arbóreos, fauna o especies nativas.</t>
  </si>
  <si>
    <t>CONTEXTO Y CONDICIONES - ACTOS DE LA NATURALEZA (solo para actividades y contratos en los que aplique)</t>
  </si>
  <si>
    <t>Describa los posibles fenómenos geológicos previsibles que puedan afectar la ejecución del contrato si hay lugar a ello, respecto de la infraestructura que el contrato debe desarrollar.</t>
  </si>
  <si>
    <t>Describa los posibles fenómenos atmosféricos y climáticos previsibles que pueden afectar la ejecución del contrato, si hay lugar a ello, respecto de la infraestructura que el contrato debe desarrollar.</t>
  </si>
  <si>
    <t>Describa los posibles fenómenos hidrológicos previsibles que pueden afectar la ejecución del contrato, si hay lugar a ello, respecto de la infraestructura que el contrato debe desarrollar.</t>
  </si>
  <si>
    <t>CONTEXTO Y CONDICIONES - GESTIÓN PREDIAL / USO DE PREDIOS (solo para actividades y contratos en los que aplique)</t>
  </si>
  <si>
    <t>Describa el número de predios que se requieren para el proyecto.</t>
  </si>
  <si>
    <t>N/A</t>
  </si>
  <si>
    <t>Describa el número de predios que deben adquirirse por el contratista y el número de predios que deben adquirirse por parte del contratante.</t>
  </si>
  <si>
    <t>Hay invasión o uso indebido de terceros en los predios que el proyecto requiere.</t>
  </si>
  <si>
    <t>CONTEXTO Y CONDICIONES SOCIALES Y POLÍTICAS (solo para actividades y contratos en los que aplique)</t>
  </si>
  <si>
    <t>Describa si el proyecto afecta comunidades protegidas como etnias, raizales indígenas, asociaciones de comerciantes o grupos de interés.</t>
  </si>
  <si>
    <t>¿El proyecto requiere trámites de consultas previas?.</t>
  </si>
  <si>
    <t>¿El proyecto prevé hacer socializaciones y comunicación estratégica con la comunidad?.</t>
  </si>
  <si>
    <t>Describa la actitud de la comunidad hacia el proyecto.</t>
  </si>
  <si>
    <t>Describa la condición política y los posibles efectos o actitud, que puedan tener los sectores políticos, en relación con el proyecto o contrato que se desea desarrollar. Considere posibles cambios de gobierno, nuevos sistemas de gobierno, nuevas políticas públicas, etc., que puedan impactar el contrato.</t>
  </si>
  <si>
    <t>CONTEXTO Y CONDICIONES DEL ORDEN PÚBLICO (solo para actividades y contratos en los que aplique)</t>
  </si>
  <si>
    <t>Describa el estado y las condiciones de orden público del lugar de ejecución del contrato ¿Hay protestas sociales, terrorismo, delincuencia?.</t>
  </si>
  <si>
    <t>Delincuencia común</t>
  </si>
  <si>
    <t>CONTEXTO Y CONDICIONES DE INFRAESTRUCTURA PÚBLICA (solo para actividades y contratos en los que aplique)</t>
  </si>
  <si>
    <t>Describa las condiciones y disponibilidad de los servicios básicos, como energía, agua, gestión de residuos u otros que se requieran para la ejecución del contrato.</t>
  </si>
  <si>
    <t>Servicios básicos</t>
  </si>
  <si>
    <t>CONTEXTO Y CONDICIONES  - GESTIÓN TECNOLOGÍA Y DATOS</t>
  </si>
  <si>
    <t>Describa el entorno tecnológico donde se desarrollará el contrato. ¿Hay disponibilidad y acceso a internet, datos, red de celular, servicios y sistemas de comunicación?.</t>
  </si>
  <si>
    <t>Disponibilidad de red de celular y datos móviles</t>
  </si>
  <si>
    <t>Describa si en el marco del contrato, operan y están disponibles los programas especializados, licencias de software, software para análisis geotécnicos, u otros que se requieren para la ejecución del contrato.</t>
  </si>
  <si>
    <t>Describa si se requiere el uso de drones, equipos de topografía, equipos especializados u  otros equipos tecnológicos para el desarrollo del contrato.</t>
  </si>
  <si>
    <t>CONTEXTO Y CONDICIONES RELACIONADAS CON VULNERACIÓN A LOS DERECHOS HUMANOS</t>
  </si>
  <si>
    <t>La comunidad del área de influencia directa del proyecto ha presentado en el último año quejas en proyectos anteriores? ¿De que tipo? ¿Cuántas?</t>
  </si>
  <si>
    <t>No conocidas</t>
  </si>
  <si>
    <t xml:space="preserve"> ¿Existirá acompañamiento de la personería o de autoridades locales en el proceso de socialización?</t>
  </si>
  <si>
    <t>¿Se tiene una caracterización del entorno y mapeo de actores en donde se realizarán las actividades del proyecto/obras?</t>
  </si>
  <si>
    <t>¿Cuáles serán los impactos sociales (positivos y/o negativos ) que se espera tener durante la ejecución del proyecto?</t>
  </si>
  <si>
    <t>PARTICULARIDADES DE CONTRATOS MARCO</t>
  </si>
  <si>
    <t>Suscritos con varios contratistas, agotables a demanda.</t>
  </si>
  <si>
    <t>Suscrito con un único contratista, agotable por volumen u ordenes de servicio.</t>
  </si>
  <si>
    <t>Posibilidad de pagos parciales.</t>
  </si>
  <si>
    <t>INFORMACIÓN ADICIONAL</t>
  </si>
  <si>
    <t>En este campo podrá relacionar información adicional que es importante conocer para la gestión de riesgos, en caso de requerirse.</t>
  </si>
  <si>
    <t>Las siguientes tablas se autocompletarán automáticamente con los datos y valores diligenciados en la hoja de contexto. Tienen el propósito de mostrar los rangos y niveles de valoración de impacto y probabilidad para facilitar el análisis y valoración de cada riesgo identificado.</t>
  </si>
  <si>
    <t>ESCALA DE CRITERIOS DE PROBABILIDAD E IMPACTO - RIESGOS ADVERSOS - NEGATIVOS</t>
  </si>
  <si>
    <t>PLAZO DE EJECUCIÓN DEL CONTRATO
(IMPACTO EN DÍAS)</t>
  </si>
  <si>
    <t>ESCALA DE CRITERIOS DE PROBABILIDAD E IMPACTO - RIESGOS FAVORABLES - POSITIVOS</t>
  </si>
  <si>
    <r>
      <t>ALTO (15)</t>
    </r>
    <r>
      <rPr>
        <sz val="14"/>
        <color rgb="FF263B18"/>
        <rFont val="Arial"/>
        <family val="2"/>
      </rPr>
      <t xml:space="preserve"> +</t>
    </r>
  </si>
  <si>
    <t>Alto 
(4)</t>
  </si>
  <si>
    <r>
      <t>ALTO (12)</t>
    </r>
    <r>
      <rPr>
        <sz val="14"/>
        <color rgb="FF263B18"/>
        <rFont val="Arial"/>
        <family val="2"/>
      </rPr>
      <t xml:space="preserve"> +</t>
    </r>
  </si>
  <si>
    <r>
      <t>ALTO (16)</t>
    </r>
    <r>
      <rPr>
        <sz val="14"/>
        <color rgb="FF263B18"/>
        <rFont val="Arial"/>
        <family val="2"/>
      </rPr>
      <t xml:space="preserve"> +</t>
    </r>
  </si>
  <si>
    <t>Medio 
(3)</t>
  </si>
  <si>
    <t>Bajo 
(2)</t>
  </si>
  <si>
    <t>Modalidad de Selección</t>
  </si>
  <si>
    <t>Tipo de Contrato</t>
  </si>
  <si>
    <t>Clasificación en Matriz de Posición del Suministro</t>
  </si>
  <si>
    <t>Sistema de precios</t>
  </si>
  <si>
    <t>Generación de la contratación</t>
  </si>
  <si>
    <t>Persona vinculada</t>
  </si>
  <si>
    <t>Tipo Interventoría</t>
  </si>
  <si>
    <t>Tipo de obligación</t>
  </si>
  <si>
    <t>Ubicación Geográfica</t>
  </si>
  <si>
    <t>Interfaz otros Contratos</t>
  </si>
  <si>
    <t>Apropiación Diseños</t>
  </si>
  <si>
    <t>Licencias que se entregan</t>
  </si>
  <si>
    <t>Gestor licencias</t>
  </si>
  <si>
    <t>Tipo Demolición</t>
  </si>
  <si>
    <t xml:space="preserve">Solicitud de oferta directa </t>
  </si>
  <si>
    <t>-</t>
  </si>
  <si>
    <t>10 10-Contrato de Obra</t>
  </si>
  <si>
    <t>Estratégico</t>
  </si>
  <si>
    <t>Contrato a precios unitarios.</t>
  </si>
  <si>
    <t>Original inicial</t>
  </si>
  <si>
    <t>Persona natural</t>
  </si>
  <si>
    <t>Supervisión interna</t>
  </si>
  <si>
    <t>De medio</t>
  </si>
  <si>
    <t>No hay territorio físico</t>
  </si>
  <si>
    <t>Contrato único independiente</t>
  </si>
  <si>
    <t>Inmodificables</t>
  </si>
  <si>
    <t>Ambiental</t>
  </si>
  <si>
    <t>Manual</t>
  </si>
  <si>
    <t xml:space="preserve">Proceso competitivo abierto </t>
  </si>
  <si>
    <t>21 21-Consultoría (Interventoría)</t>
  </si>
  <si>
    <t>Cuello de botella</t>
  </si>
  <si>
    <t>Contrato a precio global.</t>
  </si>
  <si>
    <t>Modificación</t>
  </si>
  <si>
    <t>Interventoría externa contratada</t>
  </si>
  <si>
    <t>De resultado</t>
  </si>
  <si>
    <t>Ambiente WEB</t>
  </si>
  <si>
    <t>Dependiente</t>
  </si>
  <si>
    <t>Adaptaciones</t>
  </si>
  <si>
    <t>Permisos ESP</t>
  </si>
  <si>
    <t>Contratante</t>
  </si>
  <si>
    <t>Fragmentación Mecánica</t>
  </si>
  <si>
    <t>Proceso competitivo cerrado</t>
  </si>
  <si>
    <t>22 22-Consultoría (Gerencia de Obra)</t>
  </si>
  <si>
    <t>Palanca</t>
  </si>
  <si>
    <t>Contrato con precios unitarios y precio global.</t>
  </si>
  <si>
    <t>Otrosí</t>
  </si>
  <si>
    <t>Persona natural o jurídica</t>
  </si>
  <si>
    <t>Dual (De medio y de resultado)</t>
  </si>
  <si>
    <t>Internacional</t>
  </si>
  <si>
    <t>Precedente</t>
  </si>
  <si>
    <t>Complementarlos</t>
  </si>
  <si>
    <t>Compartido</t>
  </si>
  <si>
    <t>Implosión</t>
  </si>
  <si>
    <t xml:space="preserve">Subasta electrónica o presencial </t>
  </si>
  <si>
    <t>23 23-Consultoría (Gerencia de Proyecto)</t>
  </si>
  <si>
    <t>Rutinario</t>
  </si>
  <si>
    <t>Precio único con bono de éxito.</t>
  </si>
  <si>
    <t>Consorcio</t>
  </si>
  <si>
    <t>Nacional</t>
  </si>
  <si>
    <t>Simultaneo</t>
  </si>
  <si>
    <t>Ajustes menores</t>
  </si>
  <si>
    <t>Impacto de bola</t>
  </si>
  <si>
    <t>24 24-Consultoría (Estudios y Diseños Técnicos)</t>
  </si>
  <si>
    <t>Sistema mixto de precios.</t>
  </si>
  <si>
    <t>Unión Temporal</t>
  </si>
  <si>
    <t>Regional</t>
  </si>
  <si>
    <t>Rescata otro Contrato</t>
  </si>
  <si>
    <t>Mix Manual - Mecánica</t>
  </si>
  <si>
    <t>25 25-Consultoría (Estudios de Prefactibilidad y Factibilidad)</t>
  </si>
  <si>
    <t>Urbano</t>
  </si>
  <si>
    <t>Empalme servicios</t>
  </si>
  <si>
    <t>26 26-Consultoría (Asesoría Técnica)</t>
  </si>
  <si>
    <t>Rural</t>
  </si>
  <si>
    <t>Etapa inicial Proyecto</t>
  </si>
  <si>
    <t>29 29-Consultoría (Otros)</t>
  </si>
  <si>
    <t>Etapa Secuencial Proyecto</t>
  </si>
  <si>
    <t>30 30-Servicios de Mantenimiento y/o Reparación</t>
  </si>
  <si>
    <t>Etapa Final Proyecto</t>
  </si>
  <si>
    <t>31 31-Servicios Profesionales</t>
  </si>
  <si>
    <t>32 32-Servicios Artísticos</t>
  </si>
  <si>
    <t>33 33-Servicios Apoyo a la Gestión de la Entidad (servicios administrativos)</t>
  </si>
  <si>
    <t>34 34-Servicios Asistenciales de Salud</t>
  </si>
  <si>
    <t>35 35-Servicios de Comunicaciones</t>
  </si>
  <si>
    <t>36 36-Servicios de Edición</t>
  </si>
  <si>
    <t>37 37-Servicios de Impresión</t>
  </si>
  <si>
    <t>38 38-Servicios de Publicación</t>
  </si>
  <si>
    <t>39 39-Servicios de Capacitación</t>
  </si>
  <si>
    <t>40 40-Servicios de Outsourcing</t>
  </si>
  <si>
    <t>41 41-Desarrollo de Proyectos Culturales</t>
  </si>
  <si>
    <t>42 42-Suministro de Bienes en general</t>
  </si>
  <si>
    <t>43 43-Suministro de Servicio de Vigilancia</t>
  </si>
  <si>
    <t>44 44-Suministro de Servicio de Aseo</t>
  </si>
  <si>
    <t>45 45-Sumunistro de Alimentos</t>
  </si>
  <si>
    <t>46 46-Sumunistro de Medicamentos</t>
  </si>
  <si>
    <t>48 48-Otros Suministros</t>
  </si>
  <si>
    <t>49 49-Otros Servicios</t>
  </si>
  <si>
    <t>50 50-Servicios de Transporte</t>
  </si>
  <si>
    <t>51 51-Concesión (Administración de Bienes)</t>
  </si>
  <si>
    <t>52 52-Concesión (Servicios Públicos Domiciliarios)</t>
  </si>
  <si>
    <t>54 54-Concesión (Servicios de Salud)</t>
  </si>
  <si>
    <t>55 55-Concesión (Obra Pública)</t>
  </si>
  <si>
    <t>59 59-Concesión (Otros)</t>
  </si>
  <si>
    <t>61 61-Contrato de Fiducia o Encargo Fiduciario</t>
  </si>
  <si>
    <t>62 62-Contrato de Administración Profesional de Acciones</t>
  </si>
  <si>
    <t>63 63-Leasing</t>
  </si>
  <si>
    <t>65 65-Depósitos</t>
  </si>
  <si>
    <t>69 69-Otro tipo de contrato financiero</t>
  </si>
  <si>
    <t>71 71-Corretaje o intermediación de seguros</t>
  </si>
  <si>
    <t>72 72-Contrato de Seguros</t>
  </si>
  <si>
    <t>79 79-Otro tipo de contrato de seguros</t>
  </si>
  <si>
    <t>81 81-Administración y Custodia de Bonos del Programa</t>
  </si>
  <si>
    <t>84 84-Administración y Custodia de Valores</t>
  </si>
  <si>
    <t>86 86-Representación de tenedores de bonos</t>
  </si>
  <si>
    <t>99 99-Otros contratos de títulos valores</t>
  </si>
  <si>
    <t>119 119-Otros contratos de asociación</t>
  </si>
  <si>
    <t>121 121-Compraventa (Bienes Muebles)</t>
  </si>
  <si>
    <t>122 122-Compraventa (Bienes Inmuebles)</t>
  </si>
  <si>
    <t>131 131-Arrendamiento de bienes muebles</t>
  </si>
  <si>
    <t>132 132-Arrendamiento de bienes inmuebles</t>
  </si>
  <si>
    <t>133 133-Administración y enajenación de inmuebles</t>
  </si>
  <si>
    <t>161 161-Derechos de Autor o propiedad intelectual</t>
  </si>
  <si>
    <t>162 162-Derechos de propiedad industrial</t>
  </si>
  <si>
    <t>164 164-Transferencia de Tecnología</t>
  </si>
  <si>
    <t>169 169-Otro tipo de contrato de derechos de propiedad</t>
  </si>
  <si>
    <t>201 201-Convenio de Cooperación y Asistencia Técnica</t>
  </si>
  <si>
    <t>209 209-Otros contratos con organismos multilaterales</t>
  </si>
  <si>
    <t>211 211-Convenio Interadministrativo</t>
  </si>
  <si>
    <t>212 212-Convenio Interadministrativo de Cofinanciación</t>
  </si>
  <si>
    <t>213 213-Convenio Administrativo</t>
  </si>
  <si>
    <t>219 219-Otros tipo de convenios</t>
  </si>
  <si>
    <t>901 901-Permuta de bienes muebles</t>
  </si>
  <si>
    <t>903 903-Mandato</t>
  </si>
  <si>
    <t>904 904-Comodato</t>
  </si>
  <si>
    <t>906 906-Donación</t>
  </si>
  <si>
    <t>907 907-Cesión</t>
  </si>
  <si>
    <t>908 908-Aprovechamiento Económico (Deportes)</t>
  </si>
  <si>
    <t>909 909-Suscripciones, afiliaciones</t>
  </si>
  <si>
    <t>910 910-Contrato de adm/on. mantenimiento y aprovechamiento económico del espacio público.</t>
  </si>
  <si>
    <t>911 911-Contrato Interadministrativo</t>
  </si>
  <si>
    <t>912 912-Administracion de Recursos del Régimen Subsidiado</t>
  </si>
  <si>
    <t>999 999-Otro tipo de naturaleza de contratos</t>
  </si>
  <si>
    <t xml:space="preserve">Contrato EPC subestaciones </t>
  </si>
  <si>
    <t>Contrato de consultoría</t>
  </si>
  <si>
    <t xml:space="preserve">Contrato líneas de transmisión </t>
  </si>
  <si>
    <t>Contrato prestación de servicios</t>
  </si>
  <si>
    <t>Contrato de suministros</t>
  </si>
  <si>
    <t>Etapa Contractual</t>
  </si>
  <si>
    <t>Tipo de riesgo</t>
  </si>
  <si>
    <t>Nivel de probabilidad</t>
  </si>
  <si>
    <t>Niveles de impacto financiero</t>
  </si>
  <si>
    <t>Niveles de impacto plazo de ejecución contractual</t>
  </si>
  <si>
    <t>Niveles de impacto objeto contractual</t>
  </si>
  <si>
    <t>Niveles de impacto en los objetivos estratégicos.</t>
  </si>
  <si>
    <t>Asignación del riesgo</t>
  </si>
  <si>
    <t>Tipo de Tratamiento</t>
  </si>
  <si>
    <t>¿El tratamiento ataca a la probabilidad o al impacto?</t>
  </si>
  <si>
    <t>Disminución probabilidad</t>
  </si>
  <si>
    <t>Planeación</t>
  </si>
  <si>
    <t>Derechos Humanos</t>
  </si>
  <si>
    <t>Transportadora de Gas Internacional (TGI)</t>
  </si>
  <si>
    <t>Evitar el riesgo</t>
  </si>
  <si>
    <t>Probabilidad</t>
  </si>
  <si>
    <t>Selección</t>
  </si>
  <si>
    <t>Económico</t>
  </si>
  <si>
    <t>Retirar la fuente del riesgo</t>
  </si>
  <si>
    <t>Impacto</t>
  </si>
  <si>
    <t>Ejecución</t>
  </si>
  <si>
    <t>Comercial</t>
  </si>
  <si>
    <t>Aceptar el riesgo</t>
  </si>
  <si>
    <t>Probabilidad-impacto</t>
  </si>
  <si>
    <t>Terminación</t>
  </si>
  <si>
    <t>Tecnológico e Infraestructura pública</t>
  </si>
  <si>
    <t>Cambiar la probabilidad de ocurrencia del riesgo</t>
  </si>
  <si>
    <t>Disposición final</t>
  </si>
  <si>
    <t xml:space="preserve">Social y político </t>
  </si>
  <si>
    <t>Cambiar las consecuencias del riesgo</t>
  </si>
  <si>
    <t>Calidad o estabilidad</t>
  </si>
  <si>
    <t>Actos de la naturaleza</t>
  </si>
  <si>
    <t>Cambiar la probabilidad e impacto</t>
  </si>
  <si>
    <t>Hecho de las cosas</t>
  </si>
  <si>
    <t>Compartir el riesgo</t>
  </si>
  <si>
    <t>Operacional</t>
  </si>
  <si>
    <t>Escalar la decisión sobre el riesgo</t>
  </si>
  <si>
    <t>Financiero</t>
  </si>
  <si>
    <t>MUY ALTO
El contrato logrará el objetivo en la mayoría de los casos.</t>
  </si>
  <si>
    <t>Aprovechar la oportunidad</t>
  </si>
  <si>
    <t>Regulatorio y acciones legales</t>
  </si>
  <si>
    <t>ALTO
Se logrará el objetivo en 6 de cada 10 contratos aproximadamente.</t>
  </si>
  <si>
    <t xml:space="preserve">Compartir </t>
  </si>
  <si>
    <t>Reputacional</t>
  </si>
  <si>
    <t>MEDIO
Se logrará el objetivo en 4 de cada 10 contratos aproximadamente.</t>
  </si>
  <si>
    <t>Mejorar</t>
  </si>
  <si>
    <t>Corrupción y fraudes</t>
  </si>
  <si>
    <t>BAJO
Se logrará el objetivo en 2 de cada 10 contratos aproximadamente.</t>
  </si>
  <si>
    <t>MUY BAJO
No se logrará el objetivo en la mayoría de los contratos</t>
  </si>
  <si>
    <t>Escalar</t>
  </si>
  <si>
    <t>EXTREMO (+)</t>
  </si>
  <si>
    <t xml:space="preserve">PROBABILIDAD </t>
  </si>
  <si>
    <t>CALIFICACIÓN</t>
  </si>
  <si>
    <t>MODERADO (+)</t>
  </si>
  <si>
    <t>ALTO (+)</t>
  </si>
  <si>
    <t>BAJO (+)</t>
  </si>
  <si>
    <t>NO APLCIA</t>
  </si>
  <si>
    <t xml:space="preserve">BAJO </t>
  </si>
  <si>
    <t xml:space="preserve">MODERADO </t>
  </si>
  <si>
    <t>ALTO</t>
  </si>
  <si>
    <t>EXTREMO</t>
  </si>
  <si>
    <r>
      <t xml:space="preserve">GESTIÓN DE ABASTECIMIENTO
 </t>
    </r>
    <r>
      <rPr>
        <sz val="10"/>
        <color theme="1"/>
        <rFont val="Arial"/>
      </rPr>
      <t>Matriz de Riesgos Contractuales</t>
    </r>
  </si>
  <si>
    <t>Objeto Contractual</t>
  </si>
  <si>
    <t>Fecha de elaboración de la matriz</t>
  </si>
  <si>
    <t>Contrato No.</t>
  </si>
  <si>
    <t>¿Qué tan probable es que el contrato logre el objetivo previsto?</t>
  </si>
  <si>
    <t>¿Qué nivel de impacto tiene el contrato en la Estrategia de TGI?</t>
  </si>
  <si>
    <t>Nivel de riesgo del contrato para la Estrategia</t>
  </si>
  <si>
    <t>(1) 
No. Riesgo</t>
  </si>
  <si>
    <t>(2)
Etapa Contractual</t>
  </si>
  <si>
    <t>(3) ¿Qué puede suceder?
(Riesgo)</t>
  </si>
  <si>
    <t>(4)
 ¿Cómo puede suceder?
(Causa(s))</t>
  </si>
  <si>
    <t>(5)
Descripción general de la consecuencia sobre el objeto contractual</t>
  </si>
  <si>
    <t>(6)
Tipo de riesgo</t>
  </si>
  <si>
    <t>(7)
Nivel de Probabilidad</t>
  </si>
  <si>
    <t xml:space="preserve">(8.a.)
Nivel de Consecuencia en valores financieros </t>
  </si>
  <si>
    <t>(8.b.)
Nivel de Consecuencia en el plazo de ejecución</t>
  </si>
  <si>
    <t>(8.c.)
Nivel de Consecuencia en el objeto contractual</t>
  </si>
  <si>
    <t>Menor valor</t>
  </si>
  <si>
    <t>Mayor valor</t>
  </si>
  <si>
    <t>Nivel</t>
  </si>
  <si>
    <t>(9)
Nivel de riesgo inherente</t>
  </si>
  <si>
    <t>(10)
Asignación
¿A quién se le asigna el riesgo?</t>
  </si>
  <si>
    <t>(11)
Tipo de tratamiento</t>
  </si>
  <si>
    <t>(12)
Descripción del tratamiento sugerido</t>
  </si>
  <si>
    <t>(13)
¿Qué variable del riesgo se impacta con el tratamiento sugerido?</t>
  </si>
  <si>
    <t>(14)
¿Cuántos niveles disminuye o aumenta en la escala?</t>
  </si>
  <si>
    <t>(15) 
Responsable de aplicar el tratamiento</t>
  </si>
  <si>
    <t>(16)
Nivel de Probabilidad</t>
  </si>
  <si>
    <t>Columnas de apoyo (calculo del nivel de impacto residual)</t>
  </si>
  <si>
    <t>(17)
Nivel de consecuencia</t>
  </si>
  <si>
    <t>Nivel de impacto</t>
  </si>
  <si>
    <t>(18)
Nivel de riesgo residual</t>
  </si>
  <si>
    <t>Los documentos requeridos y  requisitos de evaluación  no estan ajustados al objeto a contratar o se encuentran incompletos para el proceso</t>
  </si>
  <si>
    <t xml:space="preserve">1. Falta de aseguramiento del equipo del proyecto para los documentos de contratación </t>
  </si>
  <si>
    <t>1. Contratación de oferente sin la idoneidad necesaria para ejecutar el contrato.
2. Proceso declarado desierto por ambigüedades en los términos
3. Contrato suscrito no se encuentra ajustado al objeto y alcance requerido
4. Contratación de un objeto que no corresponde a la necesidad de la Empresa
5. Nueva necesidad de contratación para complementar el alcance del contrato
6. Necesidad de Terminación anticipada del contrato.</t>
  </si>
  <si>
    <t>2 - Medio</t>
  </si>
  <si>
    <t>-1 Muy bajo - Afectación adversa del 0% al 1% del valor del contrato</t>
  </si>
  <si>
    <t>-2 Bajo - Afecta entre el 1% y el 2% del plazo de ejecución del contrato</t>
  </si>
  <si>
    <t>-1 Muy bajo - El contrato se cumpliría con alguna dificultad frente a lo esperado inferior al 1% respecto de la ejecución del contrato</t>
  </si>
  <si>
    <t xml:space="preserve">1. La concertación con las áreas participantes en la revisión del contrato, y aprobación de garantías, los tiempos de atención de la solicitud y el impacto de los mismos respecto al proceso. 
2. Seguimiento por parte de Líder, interventor/supervisor a los procesos.
</t>
  </si>
  <si>
    <t>Planeación optimista del cronograma del proceso de contratación</t>
  </si>
  <si>
    <t>1. No se tienen en cuenta los ANS CSC
2. Mayores tiempos por actividades preliminares (validaciones, aprobaciones).</t>
  </si>
  <si>
    <t>1. Demora en los procesos de cada una de las actividades 
2. Ampliación en PDT del proyecto
3. Incumplimiento de PDT del proyecto
4. Control de cambios de cronograma del proyecto</t>
  </si>
  <si>
    <t>4 - Alto</t>
  </si>
  <si>
    <t>-2 Bajo - Afectación adversa del 1% al 2% del valor del contrato</t>
  </si>
  <si>
    <t>-3 Medio - Afecta entre el 2% y el 5% del plazo de ejecución del contrato</t>
  </si>
  <si>
    <t>1. Validar ANS del CSC para este tipo de procesos de contratación
2. Seguimiento constante al desarrollo del proceso con el CSC</t>
  </si>
  <si>
    <t>Desviación en el presupuesto</t>
  </si>
  <si>
    <t xml:space="preserve">1. Presentan ofertas por encima del presupuesto aprobado
2. Aumento de precios por factores externos como por ejemplo las fluctuaciones de las divisas (dólar).
</t>
  </si>
  <si>
    <t xml:space="preserve">
1. Problemas en la Adjudicación del contrato 
2. Requiere control de cambios en costo al proyecto
</t>
  </si>
  <si>
    <t>3 - Medio</t>
  </si>
  <si>
    <t>-3 Medio - Sobrecosto del 2% al 5% en el CAPEX</t>
  </si>
  <si>
    <t>1) Consulta de métricas históricas para el cálculo de cantidades y precios de ítems contractuales
2) Sondeo de mercado con proveedores potenciales para los suministros
3) Aplicar las clausulas contractuales y garantías al contratista</t>
  </si>
  <si>
    <t>Garantías insuficientes establecidas en el proceso para el amparo del contrato</t>
  </si>
  <si>
    <t>1. Inadecuada planeación de garantías</t>
  </si>
  <si>
    <t xml:space="preserve">
1. Requerir la modificación del contrato para ajustar las garantías.
2. Inicio de contrato tardío</t>
  </si>
  <si>
    <t>2 - Bajo</t>
  </si>
  <si>
    <t>-1 Muy bajo - Afecta hasta el 1% del plazo de ejecución del contrato</t>
  </si>
  <si>
    <t>0 No aplica</t>
  </si>
  <si>
    <t>1. Gestionar la respectiva revisión  del objeto y alcance a contratar por parte del área de seguros  y con base en ello contar con el respectivo concepto de garantías a solicitar en el proceso y en el contrato;
2. Revisión por parte del área técnica o solicitante del concepto emitido por parte del área de seguros respecto al alcance, actividades, entre otros del contrato y generar los comentarios, precisiones o solicitar aclaraciones del caso previo a la apertura del proceso a efectos de evitar adendas, retrasos en el proceso o modificaciones contractuales.</t>
  </si>
  <si>
    <t>Adiciones contractuales no planificadas por riesgo de generar adiciones a los contratos derivados (gerencia, interventoría y ejecutor)</t>
  </si>
  <si>
    <t>1. Falta de estudios previos adecuados (diagnósticos técnicos, financieros o jurídicos incompletos o desactualizados).
2. Cambios en el alcance del proyecto durante la etapa de ejecución, no contemplados en los términos iniciales del contrato.
3. Errores en la estimación de cantidades de obra, tiempos o costos durante la planeación.
4. Normatividad o condiciones externas cambiantes, que obligan a adaptar los contratos.
5. Fallas de coordinación entre los diferentes actores del proyecto (ejecutor, gerencia, interventoría, fiduciaria), generando necesidades adicionales no previstas.
6. Retrasos en la ejecución de actividades, que conllevan prórrogas o incrementos presupuestales.</t>
  </si>
  <si>
    <t>1. Aumento no previsto en los costos del proyecto, lo cual puede afectar la viabilidad financiera o requerir fuentes adicionales de financiación.
2. Modificación del alcance inicial del contrato, generando posibles conflictos contractuales o técnicos.
3. Retrasos en la ejecución del cronograma del proyecto, debido a tiempos adicionales requeridos para tramitar y aprobar las adiciones.</t>
  </si>
  <si>
    <t>1. Realizar estudios y diagnósticos técnicos, financieros y jurídicos exhaustivos que permitan definir con precisión el alcance, costos y tiempos antes de la contratación.
2. Incluir mecanismos de control y límites para las adiciones, evitando modificaciones excesivas o injustificadas.
3. Fortalecer la coordinación entre actores entre gerencia, interventoría y ejecutor para anticipar posibles ajustes o necesidades adicionales.
4. Monitorear continuamente el avance del proyecto</t>
  </si>
  <si>
    <t>Incumplimiento de normativas SARLAFT</t>
  </si>
  <si>
    <t xml:space="preserve">1. Omisión en la aplicación de los procedimientos de debida diligencia al momento de la contratación.
2. Actualización deficiente o tardía de la información del contratista en el sistema SARLAFT.
3. Falta de verificación o validación adecuada del contratista frente a listas restrictivas o bases de datos oficiales </t>
  </si>
  <si>
    <t>1. Suspensión o terminación anticipada del contrato, al identificarse vínculos con actividades ilícitas.
2. Inhabilitación del contratista o imposibilidad de continuar con la ejecución del objeto contractual.
3. Demoras en la ejecución del proyecto, mientras se realizan investigaciones, bloqueos o se reemplaza al contratista.</t>
  </si>
  <si>
    <t>1. Establecer controles continuos y monitoreo periódico durante la ejecución del contrato para detectar cambios en el estatus de los contratistas.
2. Incluir cláusulas contractuales específicas que obliguen a los contratistas a cumplir con SARLAFT y permitan la terminación anticipada en caso de incumplimiento.</t>
  </si>
  <si>
    <t>Retrasos en los tiempos estipulados para la  adjudicación de los contratos</t>
  </si>
  <si>
    <t xml:space="preserve">1. Demora en los proceso de selección de contratación por causas imputables a los oferentes (extesnión del tiempo de entrega de ofretas, mayor cantidad de Preguntas)
2. Demoras en las aprobaciones del proceso
3. Demora en la aceptación por parte del adjudicatario </t>
  </si>
  <si>
    <t>Inicio tardío y/o retrasos en el PDT</t>
  </si>
  <si>
    <t xml:space="preserve">
1. Comunicación efectiva entre las partes
2. Atención oportuna ante requerimientos.</t>
  </si>
  <si>
    <t>Demora en la expedición de pólizas por riesgo de que los contratistas no presenten las garantías (pólizas) dentro de los plazos establecidos, retrasando el inicio o continuidad del contrato.</t>
  </si>
  <si>
    <t>1. Demoras en los trámites internos del contratista para gestionar la expedición de la póliza (falta de firma de representante legal, revisión jurídica interna, etc.).
2. Retrasos en la emisión por parte de la aseguradora, ya sea por congestión operativa o por procesos lentos de evaluación del riesgo.
3. Cambios en los términos contractuales que obligan a modificar las pólizas inicialmente tramitadas, generando reprocesos.</t>
  </si>
  <si>
    <t>1. Retraso en el inicio de la ejecución del contrato, afectando el cumplimiento de metas y cronogramas.
2. Atrasos en la entrega de productos o servicios contratados, lo que afecta la eficiencia del proyecto.
3. Riesgo de incumplimiento de compromisos institucionales o contractuales con terceros (entes financiadores, comunidades, entidades aliadas).
4. Afectación en la planificación y coordinación con otros actores del proyecto (interventoría, gerencia, fiduciaria).</t>
  </si>
  <si>
    <t>1. Definir claramente en los pliegos y contratos los plazos y requisitos para la presentación de pólizas, incluyendo sanciones por incumplimiento.
2. Realizar seguimiento continuo y proactivo a la gestión de expedición de pólizas, con reportes periódicos.
3. Contar con un plan de contingencia que contemple alternativas en caso de retrasos, como plazos adicionales o garantías provisionales.</t>
  </si>
  <si>
    <t xml:space="preserve">Retraso en la actualización en las polizas </t>
  </si>
  <si>
    <t>1. Demora en la entrega de la documentación requerida por parte del contratista o asegurado.
2. Procesos administrativos internos lentos en la entidad encargada de gestionar las pólizas.
3. Falta de seguimiento o control por parte de la supervisión o interventoría para asegurar la actualización oportuna.
4. Errores o inconsistencias en la información presentada, que requieren correcciones antes de la actualización.</t>
  </si>
  <si>
    <t>1. Falta de cobertura o protección adecuada, lo que expone al proyecto a riesgos financieros y legales en caso de siniestros.
2. Incumplimiento de requisitos contractuales, pudiendo generar observaciones o sanciones por parte de entes de control.
3. Riesgo de suspensión del proyecto, si las pólizas actualizadas son condición para continuar la ejecución.</t>
  </si>
  <si>
    <t>1. Establecer un cronograma interno con fechas límite claras para la solicitud y entrega de las actualizaciones de las pólizas.
2. Verificar de forma anticipada los requisitos exigidos por las aseguradoras, para evitar devoluciones por errores o información incompleta.
3. Incluir la obligación contractual expresa de mantener vigentes y actualizadas las pólizas como requisito para la continuidad de la ejecución.</t>
  </si>
  <si>
    <t>Falta de articulación en la sesión de inicio, sin que todos los actores clave (interventoría, ejecutor, fiduciaria, gerencia) estén alineados y debidamente contratados</t>
  </si>
  <si>
    <t>1. Retrasos en la legalización de alguno de los contratos (ejecutor, interventoría, gerencia o fiducia).
2. Errores en la gestión administrativa o documental, como la no expedición oportuna de actas de inicio.</t>
  </si>
  <si>
    <t>1. Descoordinación en la ejecución del proyecto, lo que puede generar duplicidad de funciones o actividades no ejecutadas.
2. Problemas en la supervisión y control de calidad, por falta de claridad en las funciones de interventoría y gerencia.
3. Incremento en los riesgos de incumplimiento contractual y posibles sanciones.</t>
  </si>
  <si>
    <t>1. Desarrollar y distribuir un acta o protocolo de inicio que detalle compromisos, roles y acciones de seguimiento.
2. Establecer mecanismos de comunicación y reporte periódicos para mantener la alineación durante toda la ejecución del proyecto.
3. Establecer un cronograma integral de contrataciones que asegure la contratación oportuna y coordinada de todos los actores clave.</t>
  </si>
  <si>
    <t>Errores en los sistemas de información: Riesgo de registrar información incorrecta en los aplicativos institucionales durante los procesos de contratación o ejecución</t>
  </si>
  <si>
    <t>1. Inestabilidad o fallas técnicas en los sistemas de información, que pueden ocasionar pérdidas o distorsiones de datos.
2. Cambios en los procedimientos institucionales que no se reflejan oportunamente en los sistemas.</t>
  </si>
  <si>
    <t>1. Inexactitud en los registros contractuales, dificultando el seguimiento y control del cumplimiento.
2. Errores en la gestión financiera, como pagos indebidos o retrasados.
3. Dificultad para evidenciar avances o entregables reales del contrato.</t>
  </si>
  <si>
    <t>1. Establecer procedimientos de doble revisión o validación de los datos ingresados.
2. Actualizar regularmente los sistemas para corregir fallas técnicas y mejorar la usabilidad.
3. Documentar y comunicar claramente los procesos y protocolos para el registro de información.</t>
  </si>
  <si>
    <t>Retraso por parte de la ENC (Entidad Nacional Compotente) en la revisión y aprobación de las modificaciones en el SUIFP (Sistema Unificado de Inversiones y Finanzas Publicas)</t>
  </si>
  <si>
    <t>1. Errores o inconsistencias en la documentación enviada por la entidad ejecutora, que requieren subsanaciones antes de continuar el trámite.
2. Actualizaciones o cambios recientes en el SUIFP, que generan demoras por ajustes en el sistema o capacitación del personal.
3. Problemas técnicos o fallas en la plataforma del SUIFP, que afectan el flujo normal de las modificaciones.</t>
  </si>
  <si>
    <t>1. Demora en la ejecución de actividades contractuales, al no contar con la aprobación oficial de las modificaciones requeridas.
2. Imposibilidad de aplicar adiciones o ajustes contractuales, afectando la continuidad técnica, financiera o legal del proyecto.
3. Atraso en la programación y ejecución del presupuesto, debido a la falta de actualización del marco presupuestal en el sistema</t>
  </si>
  <si>
    <t>1. Planificar los tiempos del proyecto considerando posibles retrasos administrativos, estableciendo márgenes de contingencia.
2. Anticipar y preparar la documentación completa y correcta para evitar devoluciones o requerimientos adicionales que retrasen el proceso. 
3. Implementar alertas internas para seguimiento puntual de las fechas límite y estado de las modificaciones en el sistema.</t>
  </si>
  <si>
    <t xml:space="preserve">Adición de recursos al valor total del proyecto </t>
  </si>
  <si>
    <t>1. Cambios en el alcance del proyecto, que requieren nuevas actividades o componentes no previstos inicialmente.
2. Errores u omisiones en la fase de planeación o formulación del proyecto, que generan necesidades no contempladas.
3. Solicitudes de ajustes por parte de la comunidad o entidades competentes, que requieren incluir obras adicionales.
4. Extensión del plazo de ejecución, lo que conlleva mayores costos operativos, logísticos o administrativos.
5. Modificaciones técnicas derivadas de condiciones imprevistas en el terreno o entorno del proyecto.
6. Actualización de estudios y diseños, que conlleva cambios en cantidades de obra o especificaciones.</t>
  </si>
  <si>
    <t>1. Modificación del alcance del contrato:
2. Ajustes en el cronograma del proyecto
3. Actualización de estudios, diseños o especificaciones técnicas
4. Necesidad de modificar formalmente el contrato mediante un otrosí 
5. Riesgo de desbalance presupuestal si no se justifica técnica y financieramente la adición
6. Mayor exposición a riesgos contractuales y operativos</t>
  </si>
  <si>
    <t>1. Establecer procesos claros y ágiles para la gestión de adiciones, con tiempos definidos para revisión, aprobación y ejecución.
2. Fortalecer la planificación y control presupuestal, incluyendo análisis de riesgos que puedan requerir ajustes en el valor total.
3. Actualizar oportunamente el contrato mediante otrosí, reflejando los nuevos valores y condiciones.
4. Monitorear el impacto de la adición en el cronograma y alcance del proyecto, realizando ajustes oportunos si es necesario.
5. Documentar todas las modificaciones y aprobaciones de la adición, para garantizar trazabilidad y transparencia.</t>
  </si>
  <si>
    <t>Incumpliomiento de las obligaciones contractuales por parte de la  Interventoria y el Ejecutor</t>
  </si>
  <si>
    <t>1. Retrasos o incumplimientos en la entrega de información o reportes.
2. Incumplimiento en los plazos establecidos para la ejecución de actividades.
3. Cambios o modificaciones al contrato no gestionados adecuadamente.
4. Problemas de comunicación y coordinación entre Interventoría y Ejecutor.</t>
  </si>
  <si>
    <t>1. Retrasos en la ejecución del proyecto, afectando el cumplimiento del cronograma establecido.
2. Deficiencias en la calidad de los entregables, por falta de control y supervisión adecuada. 
3. Incremento de costos o sobrecostos no justificados, debido a una mala gestión o supervisión.</t>
  </si>
  <si>
    <t xml:space="preserve">1. Definir claramente las obligaciones contractuales y responsabilidades en los documentos contractuales y sociales, asegurando que ambas partes las comprendan completamente.
2. Establecer reuniones de coordinación y revisión periódicas entre Interventoría, Ejecutor y la entidad contratante para resolver dudas y ajustar actividades oportunamente.
3. Realizar auditorías externas o internas para validar el cumplimiento de las obligaciones contractuales y garantizar la transparencia del proceso.
</t>
  </si>
  <si>
    <t>Suspensión de obra por condiciones climáticas adversas</t>
  </si>
  <si>
    <t>1. Falta de estudios meteorológicos previos o análisis de riesgos climáticos en la fase de planificación del proyecto.
2. Ausencia de planes de contingencia o protocolos para mitigar impactos por eventos climáticos.</t>
  </si>
  <si>
    <t>1. Retrasos en el cronograma de ejecución, afectando la fecha de entrega pactada.
2. Incremento en los costos del proyecto, debido a tiempos muertos y posibles daños a la obra.
3. Incremento en los costos del proyecto, debido a tiempos muertos y posibles daños a la obra.
4. Interrupción de actividades críticas o secuenciales, afectando la productividad.
5. Posible necesidad de implementar medidas adicionales de mitigación, generando costos extras.</t>
  </si>
  <si>
    <t xml:space="preserve">1. Diseñar y ejecutar planes de contingencia que incluyan medidas para mitigar el impacto de las lluvias, como drenajes temporales o cubiertas provisionales.
2. Asegurar la protección de materiales y maquinaria para minimizar daños durante períodos de suspensión.
3. Coordinar con los actores del proyecto para ajustar actividades y maximizar la productividad en tiempos favorables.
4. Registrar y documentar formalmente las suspensiones y sus causas, facilitando la justificación de prórrogas o ajustes contractuales.
</t>
  </si>
  <si>
    <t xml:space="preserve">Problemas y retrasos por parte del orden publico </t>
  </si>
  <si>
    <t>1. Bloqueos de vías o accesos por manifestaciones sociales o protestas comunitarias.
2. Paros o huelgas de trabajadores locales o sectores sociales vinculados al proyecto.
3. Presencia o amenazas de grupos armados ilegales en la zona de ejecución del proyecto.
4. Conflictos entre comunidades locales y la entidad ejecutora o contratista.</t>
  </si>
  <si>
    <t xml:space="preserve">1. Suspensión temporal o total de actividades contractuales, afectando la ejecución continua del proyecto.
2. Retrasos en el cronograma de ejecución, debido a la imposibilidad de acceder o trabajar en la zona del proyecto.
3. Incremento de costos operativos y logísticos, por desvíos, reprogramaciones o medidas de seguridad adicionales.
4. Afectación en el cumplimiento de metas físicas y financieras, comprometiendo los resultados esperados.
5. Riesgo de vencimiento de plazos contractuales sin ejecución efectiva, lo que puede conllevar sanciones o la necesidad de prórrogas.
6. Pérdida o retraso en la movilización de insumos, equipos o personal técnico.
</t>
  </si>
  <si>
    <t xml:space="preserve">1. Realizar un análisis previo del entorno social y de seguridad de la zona de ejecución del proyecto, identificando posibles focos de conflicto.
2. Establecer canales de comunicación con líderes comunitarios y actores locales, fomentando la participación y el diálogo desde el inicio del proyecto.
3. Incluir cláusulas contractuales de fuerza mayor o caso fortuito, que permitan suspender actividades sin penalización ante situaciones de orden público.
4. Diseñar un plan de contingencia en seguridad y movilidad, que contemple rutas alternas, personal de apoyo y protocolos de actuación ante emergencias.
5. Establecer un protocolo de suspensión temporal de actividades, con procedimientos definidos para proteger al personal y los activos del proyecto.
6. Asegurar que el contrato cuente con pólizas apropiadas para cubrir posibles daños o pérdidas por alteraciones del orden público.
</t>
  </si>
  <si>
    <t>Incumplimiento en los tiempos de entrega</t>
  </si>
  <si>
    <t xml:space="preserve">1. Proveedores con retraso en la entrega del suministro
2. Afectación de factores externos (guerra, TRM, material base)
3.Desacuerdos en el balance financiero del contrato. 
4. Pendientes del contratista al cierre del plazo de ejecución del contrato.
5. No entrega a tiempo de pólizas ajustadas al acta de terminación
</t>
  </si>
  <si>
    <t>1. Atrasos en la ejecución del contrato
2. Atraso en el PDT
3. control de cambios cronograma
4. Incumplimiento en las disposiciones de ley
5. No suscripción del acta de liquidación</t>
  </si>
  <si>
    <t>-3 Medio - Afectación adversa del 2% al 5% del valor del contrato</t>
  </si>
  <si>
    <t>-2 Bajo - El contrato se cumpliría con un grado de dificultad bajo frente a las métricas y parámetros pactados, entre un 1% y hasta un 5%</t>
  </si>
  <si>
    <t xml:space="preserve">1. Realizar seguimiento estricto a la ejecución de la gestión del contratista
2. Contar con garantías contractuales y notificar a la aseguradora en caso de presentarse incumplimientos y/o retrasos
3. Definir los tiempos de acuerdo con la información identificada en el analisis de mercado.
4. Seguimiento por parte de interventor/supervisor al cumplimiento de la ejecución contractual
</t>
  </si>
  <si>
    <t>Retraso de reporte SPI (Seguimiento a proyectos de inversion) en el proyecto</t>
  </si>
  <si>
    <t>1. Demora en la entrega de información por parte de las áreas responsables.
2. Si no se reporta a tiempo ell sistema SPI cierra automáticamente en la fecha estimada de reporte.
3. Errores o inconsistencias en los datos que requieren correcciones.
4. Problemas técnicos en la plataforma SPI o en la conectividad.
5. Cambios en el proyecto (cronograma, presupuesto, metas) no actualizados a tiempo.</t>
  </si>
  <si>
    <t>1. Posibles observaciones o sanciones por parte de entes de control, al considerarse el retraso como una falta administrativa o técnica.
2. Afectación en el cumplimiento del cronograma contractual, porque la falta de seguimiento puede contribuir al retraso real de las actividades pactadas.
3. Riesgo de interpretación de incumplimiento contractual, ya que la no entrega del reporte en el sistema puede ser vista como falta de ejecución.
4. Si el SPI no se reporta en la fecha establecida, la plataforma se cierra y no permite realizar el reporte posteriormente.</t>
  </si>
  <si>
    <t>1. Establecer un cronograma claro ara la entrega puntual del reporte SPI, con fechas límite bien definidas.
2. Garantizar el acceso y funcionamiento adecuado de la plataforma SPI, incluyendo soporte técnico para resolver problemas que puedan impedir la carga del reporte.</t>
  </si>
  <si>
    <t>No suscripción del acta de liquidación dentro del plazo de liquidación pactado en el contrato</t>
  </si>
  <si>
    <t>1. Incumplimiento de lo pactado en el contrato y lo dispuesto en el manual de ejecución y contratación</t>
  </si>
  <si>
    <t>1. Seguimiento y control a la ejecución y chequeo de los entregables
2. Comunicación efectiva entre las partes
3. Seguimiento al plazo de ejecución y pronta gestión para la liquidación</t>
  </si>
  <si>
    <r>
      <t xml:space="preserve">GESTIÓN DE ABASTECIMIENTO
</t>
    </r>
    <r>
      <rPr>
        <sz val="14"/>
        <color theme="1"/>
        <rFont val="Arial"/>
        <family val="2"/>
      </rPr>
      <t xml:space="preserve"> Matriz de Riesgos Contractuales</t>
    </r>
  </si>
  <si>
    <t>SUMINISTRO DE VALVULAS PARA REGULACION DE ENTRADA DE GAS DE LA ECG VILLAVICENCIO AL GASODUCTO APIAY - USME</t>
  </si>
  <si>
    <t>¿Qué nivel de impacto tiene el contrato en la Estrategia de Grupo Energía Bogotá?</t>
  </si>
  <si>
    <t>Fecha del seguimiento</t>
  </si>
  <si>
    <t>(19)
Observaciones del monitoreo</t>
  </si>
  <si>
    <r>
      <t xml:space="preserve">GESTIÓN DE ABASTECIMIENTO
 </t>
    </r>
    <r>
      <rPr>
        <sz val="14"/>
        <color theme="1"/>
        <rFont val="Arial"/>
        <family val="2"/>
      </rPr>
      <t>Matriz de Riesgos Contractuales</t>
    </r>
  </si>
  <si>
    <t>x</t>
  </si>
  <si>
    <t>CONSTRUCCIÓN DEL SISTEMA DE DISTRIBUCIÓN DE GAS NATURAL POR RED PARA LAS VEREDAS VILLA HERMOSA, SITIO NUEVO, SAN CAYETANO, SAILAN, RODEO, PALACIO, LA PLAYA, COSTA RICA, CAMPO HERMOSO, BERLÍN, EL FUNCIAL, LOS NARANJOS Y CACHIPAYAL EN EL MUNICIPIO DE LA BELLEZA</t>
  </si>
  <si>
    <t>El CONTRATISTA con plena autonomía técnica, financiera y administrativa, se compromete a realizar la ejecución del proyecto denominado “CONSTRUCCIÓN DEL SISTEMA DE DISTRIBUCIÓN DE GAS NATURAL POR RED PARA LAS VEREDAS VILLA HERMOSA, SITIO NUEVO, SAN CAYETANO, SAILAN, RODEO, PALACIO, LA PLAYA, COSTA RICA, CAMPO HERMOSO, BERLÍN, EL FUNCIAL, LOS NARANJOS Y CACHIPAYAL EN EL MUNICIPIO DE LA BELLEZA”.</t>
  </si>
  <si>
    <t>Licitacion Privada Abierta</t>
  </si>
  <si>
    <t>Mediante una Fiduciaria que admininistra los recursos</t>
  </si>
  <si>
    <t>LA BELLEZA - SANTANDER, COLOMBIA (VEREDAS VILLA HERMOSA, SITIO NUEVO, SAN CAYETANO, SAILAN, RODEO, PALACIO, LA PLAYA, COSTA RICA, CAMPO HERMOSO, BERLÍN, EL FUNCIAL, LOS NARANJOS Y CACHIPAYAL EN EL MUNICIPIO DE LA BELLEZA)</t>
  </si>
  <si>
    <t>Casas</t>
  </si>
  <si>
    <t>Formulador del poyecto.</t>
  </si>
  <si>
    <t>Expectante por beneficiarse del proyecto.</t>
  </si>
  <si>
    <t>Variación en prioridades presupuestales o políticas públicas: Un cambio de administración podría disminuir el énfasis en iniciativas rurales o de infraestructura social si se reorientan los esfuerzos hacia otras agendas.
Retrasos en trámites institucionales: La rotación de funcionarios públicos o cambios en los equipos técnicos de las entidades responsables (Ministerio de Minas y Energía, UPME, alcaldías, etc.) puede generar demoras en aprobaciones, validaciones técnicas o seguimiento al proyecto.
Cambios en lineamientos del mecanismo de Obras por Impuestos: Aunque el marco legal actual lo respalda, modificaciones regulatorias o fiscales podrían impactar futuras fases o proyectos similares, aunque no se prevén afectaciones sobre contratos ya suscritos.
Intervención de actores políticos locales que, dependiendo de sus intereses o percepción sobre el proyecto, pueden incidir positiva o negativamente en la aceptación social o en facilitar trámites a nivel territorial.</t>
  </si>
  <si>
    <t>-3 Medio - El contrato se cumpliría con afectación moderada en cuanto a las métricas y parámetros pactados entre un 5% y hasta un 10%</t>
  </si>
  <si>
    <t>1. Desacuerdos en el balance financiero del contrato
2. Pendientes del contratista al cierre del plazo de ejecución del contrato</t>
  </si>
  <si>
    <t>1. ETAPA DE PLANEACIÓN
2. ETAPA DE EJECUCIÓN
2.1. RED DE DISTRIBUCIÓN – UNIDADES CONSTRUCTIVAS HOMOLOGADAS POR LA CREG
2.2. RED DE DISTRIBUCIÓN – UNIDADES CONSTRUCTIVAS NO HOMOLOGADAS POR LA CREG
2.3. CONEXIONES E INTERNAS
2.4. VALLA PUBLICITARIA</t>
  </si>
  <si>
    <t>¿De qué manera impacta el objetivo de la contratación en los objetivos estratégicos del Contribuyente? (Digite la respuesta).</t>
  </si>
  <si>
    <t>Contrato de obra</t>
  </si>
  <si>
    <t>Persona jurídica, estructura plural</t>
  </si>
  <si>
    <t>¿En ejercicios de sondeos de mercados se ha detectado un número plural de proveedores suficiente que permita contar con varias ofertas que cumplan con los mínimos habilitantes?.</t>
  </si>
  <si>
    <t>No, solo nacionales</t>
  </si>
  <si>
    <t>Facil consecución</t>
  </si>
  <si>
    <t>A través de preguntas técnicas y posibles ajustes al proyecto.</t>
  </si>
  <si>
    <t>¿Cuales son los compromisos que puede adquirir el contributyente o el contratista frente a la comunidad?</t>
  </si>
  <si>
    <t>Contratar mano de obra local no calificada, en la medida en que el perfil requerido esté disponible en la zona.
Minimizar los impactos negativos durante la ejecución, como ruidos, tránsito de maquinaria, afectaciones a vías terciarias o cultivos, y restituir condiciones iniciales cuando aplique.
Informar con antelación sobre las actividades a realizar, mediante perifoneo, carteles, visitas comunitarias o con el acompañamiento de líderes locales.
Cumplir con normas de seguridad, convivencia y respeto a la cultura y costumbres locales.
Mantener canales de comunicación abiertos con la comunidad, como puntos de atención, número de contacto o interlocutor social.
Atender de manera oportuna quejas o reclamos comunitarios relacionados con la obra o con el personal en terreno.
Apoyar actividades de socialización o cierre de obra, en coordinación con el contribuyente o el Patrimonio Autónomo.</t>
  </si>
  <si>
    <t>Impactos sociales positivos esperados durante la ejecución del proyecto:
Generación de empleo local temporal:
Se espera la contratación de mano de obra local, especialmente no calificada, lo cual puede dinamizar la economía de las veredas beneficiarias durante la etapa de construcción.
Transferencia de conocimiento técnico básico:
La presencia del proyecto puede fortalecer capacidades en la comunidad sobre temas como seguridad en obras, redes de gas y normativas del servicio.
Mayor presencia institucional en el territorio:
La articulación entre entidades del gobierno nacional, contribuyente, la fiduciaria, y contratistas puede mejorar la confianza de la comunidad en el Estado y visibilizar sus necesidades.
Reactivación económica indirecta:
El movimiento de personal y maquinaria puede generar ingresos para pequeños comercios, transportadores o productores locales.
Fortalecimiento del tejido social:
El relacionamiento comunitario y la participación en reuniones de socialización pueden fomentar la organización de líderes y juntas de acción comunal.
Conflictos por expectativas no cumplidas:
Si no se gestionan bien las expectativas sobre empleos, beneficios o compensaciones, pueden surgir tensiones con la comunidad.
Riesgos de seguridad o convivencia:
La llegada de personal externo puede alterar dinámicas sociales si no hay control de conducta, horarios o normas claras.
Desinformación o rumores:
Si no se socializa bien el proyecto, pueden circular versiones erradas que afecten su aceptación o generen resistencia.
Percepción de desigualdad en la contratación de mano de obra o servicios:
Si no se manejan criterios claros y transparentes para los procesos de selección local, puede haber inconformidades internas.</t>
  </si>
  <si>
    <t>Patrimonio Autonomo AYP TGI Gerencia 2024</t>
  </si>
  <si>
    <t>Antes de iniciar el análisis de los riesgos asociados al contrato, se deberá realizar el análisis de la valoración del riesgo del contrato en el marco de la estrategia del contribuyente, para ello se deberá analizar la probabilidad de que el contrato logre el objetivo previsto, así como el impacto que tiene el contrato en los objetivos corporativos. 
La probabilidad de que un contrato logre el objetivo será “Muy Alta” antes de iniciar su ejecución, posteriormente y durante el desarrollo de este, puede que se presenten afectaciones o eventos que reduzcan la posibilidad de que se alcance la finalidad de la contratación, en dicho caso, en que el contrato sufra dificultades, retrasos, entre otros. La valoración inicial podría variar, y en ese sentido cambiará el nivel de riesgo, esto se podrá identificar y ajustar a la realidad del momento en que se estén haciendo dichos seguimientos. 
A continuación, se establecen los criterios de probabilidad. La selección del nivel responde a la siguiente pregunta, ¿Qué tan probable es que el contrato logre el objetivo previsto?</t>
  </si>
  <si>
    <t>Tabla 2. Niveles de impacto del contrato en la estrategia deI contribuyente.</t>
  </si>
  <si>
    <t>Valoración y definición del nivel de riesgo del contrato en la estrategia del contribuyente</t>
  </si>
  <si>
    <t>Tabla 1. Niveles de probabilidad de que el contrato logre el objetivo previsto en la estrategia del contribuyente.</t>
  </si>
  <si>
    <t>De igual manera es importante que el equipo defina cual es el impacto del contrato a nivel estratégico, para esto se ha destinado un campo en la matriz de riesgos en la que al igual que para la probabilidad, a través de una lista desplegable se podrá seleccionar cual es el nivel de impacto del contrato en la estrategia.
A continuación, se establecen los criterios de impacto. La selección del nivel responde a la siguiente pregunta, ¿Qué nivel de impacto tiene el contrato en la Estrategia del contribuyente?, para seleccionar dicho nivel, determine cual es la clasificación del contrato de acuerdo con la matriz de posición de suministro y seleccione el nivel de impacto, como se presenta en la siguiente tabla.</t>
  </si>
  <si>
    <t>Tabla 3. Escala de criterios de probabilidad e impacto para determinar el nivel de riesgo del contrato en la estrategia del contribuyente.</t>
  </si>
  <si>
    <t>Operacionales: Son aquellos riesgos derivados durante el desarrollo de procesos, procedimientos, actividades, equipos humanos o técnicos inadecuados o insuficientes. En esta clasificación se incluyen también los riesgos que ocurran por accidentes laborales, enfermedad profesional, muerte, suficiencia y ausentismo del personal del contratista, así como falta de personal clave, actos de empleados ya sean voluntarios o culposos, consecuencia de impericia o falta de habilidades y conocimientos en el manejo de equipos, maquinaria, herramientas y aparatos. 
Además, los riesgos que ocurran por cambios en los costos, inversiones y gastos derivados de vicio propio, características y propiedades físicas o químicas de materiales o productos, los residuos y su composición, así como las condiciones de suelos y medio ambiente; errores, insuficiencia o eventos con origen en o derivados de subcontratos; alteración, omisión y errores en diseños, planos, o estudios o diseños realizados o revisados por el contratista, falla humana de otra persona que actúe por su cuenta contratada o a cargo del contratista, actos o eventos en proveedores, filiales, subordinadas, y otros contratistas o subcontratistas relacionados o vinculados con el contratista del contribuyente.</t>
  </si>
  <si>
    <t>Reputacional: En este tipo de riesgos se incluyen acciones, errores u omisiones en los procesos de contratación que afectar la imagen o generen en la ciudadanía percepciones negativas del contribuyente.</t>
  </si>
  <si>
    <t>Ingrese en este campo el riesgo identificado y su descripción detallada, posterior al análisis del contexto externo e interno del proceso de contratación. Ingrese un (1) riesgo por Ítem en el formato. Responda a la pregunta ¿qué puede suceder?.
*Definición de riesgo: Posibilidad de que suceda algún evento que afectará de forma favorable o adversa el cumplimiento de los objetivos del proceso de contratación en cualquiera de sus etapas, impactando el aprovisionamiento de los bienes y servicios requeridos por contribuyente. El riesgo contractual podrá ser previsible y considerado dentro de las condiciones iniciales del contrato. Para el efecto se tendrán en cuenta las obligaciones y el presupuesto estimado, así como el precio que propone un oferente a su propia cuenta. Sin prejuicio de lo anterior según las reglas particulares aplicables a cada contrato, podría presentarse riesgos imprevisibles que se resolverán según lo previsto en las normas y el contrato.</t>
  </si>
  <si>
    <t>Compartir el riesgo: Hacer partícipe a un tercero, quien asumirá una porción de las consecuencias en caso de la materialización del riesgo. Por lo general, no es posible trasladar la totalidad de los riesgos o las responsabilidades derivadas a otra organización, alguna parte deberá ser asumida o retenida por contribuyente, así sea una parte económica muy pequeña, o una muy grande relativa al cumplimiento de sus fines misionales. Los mecanismos típicos de esta forma de tratamiento son los contratos y la financiación del riesgo.</t>
  </si>
  <si>
    <t>Seleccione la probabilidad de la lista desplegable (La tabla es aplicable en la determinación de la probabilidad para riesgos positivos o favorables, como para riesgos negativos o adversos, La siguiente tabla presenta los niveles.</t>
  </si>
  <si>
    <t xml:space="preserve">Seleccione de la lista desplegable a quién se le asigna el riesgo.
- contribuyente 
-Contratista
-Compartido
</t>
  </si>
  <si>
    <t>El apremio conminatorio es una sanción económica que puede aplicar el CONTRATANTE para forzar el cumplimiento de las obligaciones contractuales. Se descuenta de los pagos o saldos a favor del CONTRATISTA cuando:
Hay incumplimiento total o parcial de las obligaciones.
La ejecución no cumple especificaciones, se realiza de forma distinta a la contratada o fuera de plazo, sin causa justificada.
1. Retraso en el cronograma de obra
- Si el retraso supera el 5% del cronograma aprobado, sin justificación, se aplica un apremio diario del 0,5% de la utilidad del contrato hasta corregir el incumplimiento.
- Tope máximo: 10% de la utilidad del contrato.
- Superado el tope y persistiendo el incumplimiento, se puede aplicar la cláusula penal o terminar anticipadamente el contrato.
2. Incumplimiento de otras obligaciones
- Si se incumple cualquier otra obligación (no ligada al cronograma) sin justificación, se aplica un apremio diario del 0,1% del valor total del contrato hasta que se subsane.
- Antes de aplicarlo, se sigue un procedimiento de verificación, comunicación y análisis.
- Si se corrige en los 5 días hábiles posteriores a la notificación, el apremio puede reducirse hasta un 50% (con visto bueno del interventor y autorización del fideicomitente).
- Reincidencia o afectación grave puede llevar a cláusula penal o terminación anticipada.</t>
  </si>
  <si>
    <t>Para el caso de incumplimiento de una o varias de las obligaciones a cargo del CONTRATISTA, con la firma del presente CONTRATO, las partes convienen y facultan al CONTRATANTE a exigir al CONTRATISTA el pago de este al CONTRATANTE, a título de pena, de la suma equivalente al veinte (20%) del valor total del CONTRATO, para tal fin facultan al CONTRATANTE para que haga efectiva la cláusula penal. La pena aquí estipulada no constituye una tasación anticipada de perjuicios, por lo que el CONTRATANTE podrá exigir del CONTRATISTA la indemnización total de los perjuicios causados.</t>
  </si>
  <si>
    <t>Ley 1819 de 2016 - Crea el mecanismo de Obras por Impuestos
Estatuto (art. 800-1) - Regula convenios y ampliaciones territoriales
Ley 2155 de 2021 - Amplía cobertura geográfica y proyectos
Decreto 1625 de 2016 - Define estructura operativa y reglamentaria
Decreto 1208 de 2022 - Detalla procedimientos, plazos, rendición
Decreto 1458 de 2023 - Ajusta reglamentación, incluye Amazonía
Decreto 054 de 2025 (Bogotá) - Adapta mecanismos al nivel distrital</t>
  </si>
  <si>
    <t>a)	CUMPLIMIENTO DEL CONTRATO:
Valor asegurado: 20% del valor total del contrato.
Vigencia: Vigencia del contrato + 6 meses.
b)	PAGO DE SALARIOS Y PRESTACIONES SOCIALES:
Valor asegurado: 10% del valor del contrato.
Vigencia: Plazo del contrato + 3 años.
c)	CALIDAD DE LOS ELEMENTOS SUMINISTRADOS:
Valor asegurado: 30% del valor del contrato.
Vigencia: 12 meses contados desde el acta de entrega final.
d)	ESTABILIDAD DE LA OBRA:
Valor asegurado: 20% del valor del contrato.
Vigencia: 5 años contados a partir del acta de entrega a satisfacción.</t>
  </si>
  <si>
    <t>El proyecto cuenta con ingeniería de detalle, la cual incluye los planos, especificaciones técnicas, memorias de cálculo, cronogramas y demás documentos necesarios para la ejecución de la obra. Este nivel de ingeniería permite definir de manera precisa los alcances, cantidades de obra, materiales y procedimientos constructivos, garantizando que el proceso de contratación se realice con la información suficiente para la correcta ejecución del proyecto.</t>
  </si>
  <si>
    <t xml:space="preserve">Este proyecto se generó a raíz del decreto 1915 de 2017 del Ministerio de Hacienda, el cual determina que las personas jurídicas contribuyentes del impuesto sobre la renta y complementario como contribuyente que en el año gravable obtengan ingresos brutos a iguales o superiores a (33.610) Unidad de valor tributario- UVT, pueden efectuar el pago parcial del impuesto de renta mediante la inversión directa en la ejecución de proyectos de trascendencia social, en los diferentes municipios ubicados en las Zonas más afectadas por el conflicto armado – ZOMAC.   
Los contribuyentes del impuesto sobre la renta y complementario pueden optar por el mecanismo de pago a través de OBRAS POR IMPUESTOS en los diferentes Zonas más afectadas por el conflicto armado – ZOMAC y en los territorios cobijados por los Programas de Desarrollo con Enfoque Territorial - PDET.  Los proyectos de inversión OBRAS POR IMPUESTOS, tienen como objeto la construcción, mejoramiento optimización o ampliación de infraestructura y/o dotación requerida para el suministro de los servicios de agua potable, alcantarillado, energía, salud pública, educación pública y la construcción y /o reparación de infraestructura vial en los municipios ubicados en las Zonas más afectadas por el conflicto armado – ZOMAC.  </t>
  </si>
  <si>
    <t>Describa las distintas divisas o monedas que se transarán, o que representan costos, gastos o giros dentro del contrato y quién debe pagarlas (contribuyente o contratista).</t>
  </si>
  <si>
    <t>Impactos sociales positivos esperados durante la ejecución del proyecto:
Generación de empleo local temporal:
Se espera la contratación de mano de obra local, especialmente no calificada, lo cual puede dinamizar la economía de las veredas beneficiarias durante la etapa de construcción.
Transferencia de conocimiento técnico básico:
La presencia del proyecto puede fortalecer capacidades en la comunidad sobre temas como seguridad en obras, redes de gas y normativas del servicio.
Mayor presencia institucional en el territorio:
La articulación entre entidades del gobierno nacional, contribuyente, la fiduciaria, y contratistas puede mejorar la confianza de la comunidad en el Estado y visibilizar sus necesidades.
Reactivación económica indirecta:
El movimiento de personal y maquinaria puede generar ingresos para pequeños comercios, transportadores o productores local+A126es.
Fortalecimiento del tejido social:
El relacionamiento comunitario y la participación en reuniones de socialización pueden fomentar la organización de líderes y juntas de acción comunal.
Conflictos por expectativas no cumplidas:
Si no se gestionan bien las expectativas sobre empleos, beneficios o compensaciones, pueden surgir tensiones con la comunidad.
Riesgos de seguridad o convivencia:
La llegada de personal externo puede alterar dinámicas sociales si no hay control de conducta, horarios o normas claras.
Desinformación o rumores:
Si no se socializa bien el proyecto, pueden circular versiones erradas que afecten su aceptación o generen resistencia.
Percepción de desigualdad en la contratación de mano de obra o servicios:
Si no se manejan criterios claros y transparentes para los procesos de selección local, puede haber inconformidades internas.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</si>
</sst>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 &quot;Meses&quot;"/>
    <numFmt numFmtId="166" formatCode="&quot;$&quot;\ #,##0"/>
    <numFmt numFmtId="167" formatCode="[$-F800]dddd\,\ mmmm\ dd\,\ yyyy"/>
  </numFmts>
  <fonts count="58" x14ac:knownFonts="1">
    <font>
      <sz val="11"/>
      <color theme="1"/>
      <name val="Arial"/>
      <family val="2"/>
    </font>
    <font>
      <sz val="11"/>
      <color theme="1"/>
      <name val="Calibri"/>
      <family val="2"/>
      <scheme val="minor"/>
    </font>
    <font>
      <sz val="11"/>
      <color theme="1"/>
      <name val="Arial"/>
      <family val="2"/>
    </font>
    <font>
      <b/>
      <sz val="11"/>
      <color theme="0"/>
      <name val="Arial"/>
      <family val="2"/>
    </font>
    <font>
      <b/>
      <sz val="11"/>
      <color theme="1"/>
      <name val="Arial"/>
      <family val="2"/>
    </font>
    <font>
      <sz val="11"/>
      <color theme="1"/>
      <name val="Calibri"/>
      <family val="2"/>
      <scheme val="minor"/>
    </font>
    <font>
      <b/>
      <sz val="10"/>
      <color theme="0"/>
      <name val="Arial"/>
      <family val="2"/>
    </font>
    <font>
      <b/>
      <sz val="10"/>
      <color theme="1"/>
      <name val="Arial"/>
      <family val="2"/>
    </font>
    <font>
      <sz val="10"/>
      <color theme="1"/>
      <name val="Arial"/>
      <family val="2"/>
    </font>
    <font>
      <i/>
      <sz val="10"/>
      <color theme="1"/>
      <name val="Arial"/>
      <family val="2"/>
    </font>
    <font>
      <b/>
      <sz val="10"/>
      <color rgb="FFFF0000"/>
      <name val="Arial"/>
      <family val="2"/>
    </font>
    <font>
      <b/>
      <sz val="12"/>
      <color rgb="FFFFFFFF"/>
      <name val="Arial"/>
      <family val="2"/>
    </font>
    <font>
      <sz val="10"/>
      <color rgb="FF000000"/>
      <name val="Arial"/>
      <family val="2"/>
    </font>
    <font>
      <sz val="9"/>
      <color rgb="FF000000"/>
      <name val="Arial"/>
      <family val="2"/>
    </font>
    <font>
      <sz val="9"/>
      <color theme="1"/>
      <name val="Arial"/>
      <family val="2"/>
    </font>
    <font>
      <b/>
      <sz val="9"/>
      <color rgb="FF000000"/>
      <name val="Arial"/>
      <family val="2"/>
    </font>
    <font>
      <sz val="8"/>
      <color theme="1"/>
      <name val="Arial"/>
      <family val="2"/>
    </font>
    <font>
      <sz val="7"/>
      <color theme="1"/>
      <name val="Arial"/>
      <family val="2"/>
    </font>
    <font>
      <sz val="9"/>
      <color rgb="FF538135"/>
      <name val="Arial"/>
      <family val="2"/>
    </font>
    <font>
      <sz val="9"/>
      <color rgb="FF4B752F"/>
      <name val="Arial"/>
      <family val="2"/>
    </font>
    <font>
      <sz val="9"/>
      <color rgb="FF263B18"/>
      <name val="Arial"/>
      <family val="2"/>
    </font>
    <font>
      <sz val="9"/>
      <color rgb="FF3C5D25"/>
      <name val="Arial"/>
      <family val="2"/>
    </font>
    <font>
      <b/>
      <sz val="10"/>
      <color rgb="FFFFFFFF"/>
      <name val="Arial"/>
      <family val="2"/>
    </font>
    <font>
      <sz val="10"/>
      <color rgb="FFFF0000"/>
      <name val="Arial"/>
      <family val="2"/>
    </font>
    <font>
      <b/>
      <sz val="11"/>
      <color rgb="FFFFFFFF"/>
      <name val="Arial"/>
      <family val="2"/>
    </font>
    <font>
      <sz val="10"/>
      <name val="Arial"/>
      <family val="2"/>
    </font>
    <font>
      <b/>
      <sz val="11"/>
      <color rgb="FFFF0000"/>
      <name val="Arial"/>
      <family val="2"/>
    </font>
    <font>
      <b/>
      <sz val="12"/>
      <color rgb="FF000000"/>
      <name val="Arial"/>
      <family val="2"/>
    </font>
    <font>
      <b/>
      <sz val="12"/>
      <color theme="1"/>
      <name val="Arial"/>
      <family val="2"/>
    </font>
    <font>
      <sz val="12"/>
      <color theme="1"/>
      <name val="Arial"/>
      <family val="2"/>
    </font>
    <font>
      <b/>
      <sz val="11"/>
      <name val="Arial"/>
      <family val="2"/>
    </font>
    <font>
      <i/>
      <sz val="11"/>
      <color theme="1"/>
      <name val="Arial"/>
      <family val="2"/>
    </font>
    <font>
      <b/>
      <sz val="12"/>
      <color rgb="FFFF0000"/>
      <name val="Arial"/>
      <family val="2"/>
    </font>
    <font>
      <b/>
      <sz val="16"/>
      <color theme="1"/>
      <name val="Arial"/>
      <family val="2"/>
    </font>
    <font>
      <b/>
      <sz val="11"/>
      <color rgb="FFFF0000"/>
      <name val="Calibri"/>
      <family val="2"/>
      <scheme val="minor"/>
    </font>
    <font>
      <b/>
      <sz val="14"/>
      <color theme="0"/>
      <name val="Arial"/>
      <family val="2"/>
    </font>
    <font>
      <b/>
      <sz val="14"/>
      <color theme="1"/>
      <name val="Arial"/>
      <family val="2"/>
    </font>
    <font>
      <sz val="14"/>
      <color rgb="FF538135"/>
      <name val="Arial"/>
      <family val="2"/>
    </font>
    <font>
      <sz val="14"/>
      <color rgb="FF4B752F"/>
      <name val="Arial"/>
      <family val="2"/>
    </font>
    <font>
      <sz val="14"/>
      <color rgb="FF263B18"/>
      <name val="Arial"/>
      <family val="2"/>
    </font>
    <font>
      <sz val="14"/>
      <color rgb="FF3C5D25"/>
      <name val="Arial"/>
      <family val="2"/>
    </font>
    <font>
      <b/>
      <sz val="14"/>
      <color rgb="FFFFFFFF"/>
      <name val="Arial"/>
      <family val="2"/>
    </font>
    <font>
      <b/>
      <sz val="11"/>
      <color theme="0"/>
      <name val="Calibri"/>
      <family val="2"/>
      <scheme val="minor"/>
    </font>
    <font>
      <u/>
      <sz val="11"/>
      <color theme="1"/>
      <name val="Calibri"/>
      <family val="2"/>
      <scheme val="minor"/>
    </font>
    <font>
      <b/>
      <u/>
      <sz val="11"/>
      <color theme="1"/>
      <name val="Calibri"/>
      <family val="2"/>
      <scheme val="minor"/>
    </font>
    <font>
      <sz val="10"/>
      <color rgb="FF3C5D25"/>
      <name val="Arial"/>
      <family val="2"/>
    </font>
    <font>
      <b/>
      <sz val="11"/>
      <color theme="1"/>
      <name val="Calibri"/>
      <family val="2"/>
      <scheme val="minor"/>
    </font>
    <font>
      <sz val="10"/>
      <color rgb="FF538135"/>
      <name val="Arial"/>
      <family val="2"/>
    </font>
    <font>
      <sz val="10"/>
      <color rgb="FF4B752F"/>
      <name val="Arial"/>
      <family val="2"/>
    </font>
    <font>
      <sz val="14"/>
      <color theme="1"/>
      <name val="Calibri"/>
      <family val="2"/>
      <scheme val="minor"/>
    </font>
    <font>
      <sz val="10"/>
      <color theme="1"/>
      <name val="Calibri"/>
      <family val="2"/>
      <scheme val="minor"/>
    </font>
    <font>
      <sz val="14"/>
      <color theme="1"/>
      <name val="Arial"/>
      <family val="2"/>
    </font>
    <font>
      <sz val="8"/>
      <name val="Arial"/>
      <family val="2"/>
    </font>
    <font>
      <sz val="10"/>
      <color theme="1"/>
      <name val="Arial"/>
    </font>
    <font>
      <sz val="10"/>
      <name val="Arial"/>
    </font>
    <font>
      <b/>
      <sz val="10"/>
      <color theme="1"/>
      <name val="Arial"/>
    </font>
    <font>
      <b/>
      <sz val="10"/>
      <name val="Arial"/>
    </font>
    <font>
      <b/>
      <sz val="10"/>
      <color theme="0"/>
      <name val="Arial"/>
    </font>
  </fonts>
  <fills count="34">
    <fill>
      <patternFill patternType="none"/>
    </fill>
    <fill>
      <patternFill patternType="gray125"/>
    </fill>
    <fill>
      <patternFill patternType="solid">
        <fgColor theme="8" tint="0.59999389629810485"/>
        <bgColor indexed="64"/>
      </patternFill>
    </fill>
    <fill>
      <patternFill patternType="solid">
        <fgColor rgb="FF00A44A"/>
        <bgColor indexed="64"/>
      </patternFill>
    </fill>
    <fill>
      <patternFill patternType="solid">
        <fgColor theme="0"/>
        <bgColor indexed="64"/>
      </patternFill>
    </fill>
    <fill>
      <patternFill patternType="solid">
        <fgColor rgb="FF4472C4"/>
        <bgColor indexed="64"/>
      </patternFill>
    </fill>
    <fill>
      <patternFill patternType="solid">
        <fgColor rgb="FFB4C6E7"/>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222B35"/>
        <bgColor indexed="64"/>
      </patternFill>
    </fill>
    <fill>
      <patternFill patternType="solid">
        <fgColor rgb="FFC0DDAD"/>
        <bgColor indexed="64"/>
      </patternFill>
    </fill>
    <fill>
      <patternFill patternType="solid">
        <fgColor rgb="FFA4CE88"/>
        <bgColor indexed="64"/>
      </patternFill>
    </fill>
    <fill>
      <patternFill patternType="solid">
        <fgColor rgb="FF89BF65"/>
        <bgColor indexed="64"/>
      </patternFill>
    </fill>
    <fill>
      <patternFill patternType="solid">
        <fgColor rgb="FFE2EFD9"/>
        <bgColor indexed="64"/>
      </patternFill>
    </fill>
    <fill>
      <patternFill patternType="solid">
        <fgColor rgb="FFD9E2F3"/>
        <bgColor indexed="64"/>
      </patternFill>
    </fill>
    <fill>
      <patternFill patternType="solid">
        <fgColor rgb="FF00FF0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F6D6D"/>
        <bgColor indexed="64"/>
      </patternFill>
    </fill>
    <fill>
      <patternFill patternType="solid">
        <fgColor rgb="FF69FF69"/>
        <bgColor indexed="64"/>
      </patternFill>
    </fill>
    <fill>
      <patternFill patternType="solid">
        <fgColor theme="0" tint="-4.9989318521683403E-2"/>
        <bgColor indexed="64"/>
      </patternFill>
    </fill>
    <fill>
      <patternFill patternType="solid">
        <fgColor rgb="FFFEC200"/>
        <bgColor indexed="64"/>
      </patternFill>
    </fill>
    <fill>
      <patternFill patternType="solid">
        <fgColor rgb="FF69D969"/>
        <bgColor indexed="64"/>
      </patternFill>
    </fill>
    <fill>
      <patternFill patternType="solid">
        <fgColor rgb="FF002060"/>
        <bgColor indexed="64"/>
      </patternFill>
    </fill>
    <fill>
      <patternFill patternType="solid">
        <fgColor rgb="FF009200"/>
        <bgColor indexed="64"/>
      </patternFill>
    </fill>
    <fill>
      <patternFill patternType="solid">
        <fgColor theme="0" tint="-0.14999847407452621"/>
        <bgColor indexed="64"/>
      </patternFill>
    </fill>
    <fill>
      <patternFill patternType="solid">
        <fgColor rgb="FF002060"/>
        <bgColor theme="4"/>
      </patternFill>
    </fill>
    <fill>
      <patternFill patternType="solid">
        <fgColor theme="4" tint="0.79998168889431442"/>
        <bgColor theme="4"/>
      </patternFill>
    </fill>
    <fill>
      <patternFill patternType="solid">
        <fgColor rgb="FFCBA9E5"/>
        <bgColor indexed="64"/>
      </patternFill>
    </fill>
    <fill>
      <patternFill patternType="solid">
        <fgColor rgb="FFA162D0"/>
        <bgColor indexed="64"/>
      </patternFill>
    </fill>
    <fill>
      <patternFill patternType="solid">
        <fgColor theme="9" tint="0.59999389629810485"/>
        <bgColor indexed="64"/>
      </patternFill>
    </fill>
    <fill>
      <patternFill patternType="solid">
        <fgColor rgb="FFD1E4F3"/>
        <bgColor indexed="64"/>
      </patternFill>
    </fill>
    <fill>
      <patternFill patternType="solid">
        <fgColor theme="8" tint="0.79998168889431442"/>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ck">
        <color theme="0"/>
      </left>
      <right style="thick">
        <color theme="0"/>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thin">
        <color indexed="64"/>
      </left>
      <right style="thin">
        <color indexed="64"/>
      </right>
      <top/>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theme="1" tint="4.9989318521683403E-2"/>
      </left>
      <right style="medium">
        <color indexed="64"/>
      </right>
      <top style="hair">
        <color theme="1" tint="4.9989318521683403E-2"/>
      </top>
      <bottom style="hair">
        <color theme="1" tint="4.9989318521683403E-2"/>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top style="medium">
        <color indexed="64"/>
      </top>
      <bottom style="medium">
        <color indexed="64"/>
      </bottom>
      <diagonal/>
    </border>
    <border>
      <left/>
      <right/>
      <top style="medium">
        <color indexed="64"/>
      </top>
      <bottom style="medium">
        <color indexed="64"/>
      </bottom>
      <diagonal/>
    </border>
    <border>
      <left/>
      <right style="medium">
        <color theme="0"/>
      </right>
      <top style="medium">
        <color indexed="64"/>
      </top>
      <bottom style="medium">
        <color indexed="64"/>
      </bottom>
      <diagonal/>
    </border>
    <border>
      <left style="medium">
        <color theme="0"/>
      </left>
      <right/>
      <top style="medium">
        <color indexed="64"/>
      </top>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indexed="64"/>
      </left>
      <right style="hair">
        <color theme="1" tint="4.9989318521683403E-2"/>
      </right>
      <top style="medium">
        <color indexed="64"/>
      </top>
      <bottom style="hair">
        <color theme="1" tint="4.9989318521683403E-2"/>
      </bottom>
      <diagonal/>
    </border>
    <border>
      <left style="hair">
        <color theme="1" tint="4.9989318521683403E-2"/>
      </left>
      <right style="hair">
        <color theme="1" tint="4.9989318521683403E-2"/>
      </right>
      <top style="medium">
        <color indexed="64"/>
      </top>
      <bottom/>
      <diagonal/>
    </border>
    <border>
      <left style="hair">
        <color theme="1" tint="4.9989318521683403E-2"/>
      </left>
      <right style="hair">
        <color theme="1" tint="4.9989318521683403E-2"/>
      </right>
      <top style="medium">
        <color indexed="64"/>
      </top>
      <bottom style="hair">
        <color theme="1" tint="4.9989318521683403E-2"/>
      </bottom>
      <diagonal/>
    </border>
    <border>
      <left style="medium">
        <color indexed="64"/>
      </left>
      <right style="hair">
        <color theme="1" tint="4.9989318521683403E-2"/>
      </right>
      <top style="hair">
        <color theme="1" tint="4.9989318521683403E-2"/>
      </top>
      <bottom style="hair">
        <color theme="1" tint="4.9989318521683403E-2"/>
      </bottom>
      <diagonal/>
    </border>
    <border>
      <left style="hair">
        <color theme="1" tint="4.9989318521683403E-2"/>
      </left>
      <right style="hair">
        <color theme="1" tint="4.9989318521683403E-2"/>
      </right>
      <top style="hair">
        <color theme="1" tint="4.9989318521683403E-2"/>
      </top>
      <bottom style="hair">
        <color theme="1" tint="4.9989318521683403E-2"/>
      </bottom>
      <diagonal/>
    </border>
    <border>
      <left style="hair">
        <color theme="1" tint="4.9989318521683403E-2"/>
      </left>
      <right style="hair">
        <color theme="1" tint="4.9989318521683403E-2"/>
      </right>
      <top/>
      <bottom style="hair">
        <color theme="1" tint="4.9989318521683403E-2"/>
      </bottom>
      <diagonal/>
    </border>
    <border>
      <left style="medium">
        <color indexed="64"/>
      </left>
      <right style="hair">
        <color theme="1" tint="4.9989318521683403E-2"/>
      </right>
      <top style="hair">
        <color theme="1" tint="4.9989318521683403E-2"/>
      </top>
      <bottom style="medium">
        <color indexed="64"/>
      </bottom>
      <diagonal/>
    </border>
    <border>
      <left style="hair">
        <color theme="1" tint="4.9989318521683403E-2"/>
      </left>
      <right style="hair">
        <color theme="1" tint="4.9989318521683403E-2"/>
      </right>
      <top style="hair">
        <color theme="1" tint="4.9989318521683403E-2"/>
      </top>
      <bottom style="medium">
        <color indexed="64"/>
      </bottom>
      <diagonal/>
    </border>
    <border>
      <left style="hair">
        <color theme="1" tint="4.9989318521683403E-2"/>
      </left>
      <right style="hair">
        <color theme="1" tint="4.9989318521683403E-2"/>
      </right>
      <top/>
      <bottom style="medium">
        <color indexed="64"/>
      </bottom>
      <diagonal/>
    </border>
    <border>
      <left/>
      <right style="medium">
        <color indexed="64"/>
      </right>
      <top style="hair">
        <color indexed="64"/>
      </top>
      <bottom style="hair">
        <color indexed="64"/>
      </bottom>
      <diagonal/>
    </border>
    <border>
      <left/>
      <right style="medium">
        <color theme="0"/>
      </right>
      <top style="medium">
        <color indexed="64"/>
      </top>
      <bottom/>
      <diagonal/>
    </border>
    <border>
      <left style="hair">
        <color theme="1" tint="4.9989318521683403E-2"/>
      </left>
      <right/>
      <top style="medium">
        <color indexed="64"/>
      </top>
      <bottom style="hair">
        <color theme="1" tint="4.9989318521683403E-2"/>
      </bottom>
      <diagonal/>
    </border>
    <border>
      <left/>
      <right style="medium">
        <color indexed="64"/>
      </right>
      <top style="medium">
        <color indexed="64"/>
      </top>
      <bottom style="hair">
        <color theme="1" tint="4.9989318521683403E-2"/>
      </bottom>
      <diagonal/>
    </border>
    <border>
      <left style="hair">
        <color theme="1" tint="4.9989318521683403E-2"/>
      </left>
      <right/>
      <top style="hair">
        <color theme="1" tint="4.9989318521683403E-2"/>
      </top>
      <bottom style="hair">
        <color theme="1" tint="4.9989318521683403E-2"/>
      </bottom>
      <diagonal/>
    </border>
    <border>
      <left/>
      <right style="medium">
        <color indexed="64"/>
      </right>
      <top style="hair">
        <color theme="1" tint="4.9989318521683403E-2"/>
      </top>
      <bottom style="hair">
        <color theme="1" tint="4.9989318521683403E-2"/>
      </bottom>
      <diagonal/>
    </border>
    <border>
      <left style="hair">
        <color theme="1" tint="4.9989318521683403E-2"/>
      </left>
      <right/>
      <top style="hair">
        <color theme="1" tint="4.9989318521683403E-2"/>
      </top>
      <bottom style="medium">
        <color indexed="64"/>
      </bottom>
      <diagonal/>
    </border>
    <border>
      <left/>
      <right style="medium">
        <color indexed="64"/>
      </right>
      <top style="hair">
        <color theme="1" tint="4.9989318521683403E-2"/>
      </top>
      <bottom style="medium">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5" fillId="0" borderId="0"/>
    <xf numFmtId="164" fontId="5" fillId="0" borderId="0" applyFont="0" applyFill="0" applyBorder="0" applyAlignment="0" applyProtection="0"/>
  </cellStyleXfs>
  <cellXfs count="536">
    <xf numFmtId="0" fontId="0" fillId="0" borderId="0" xfId="0"/>
    <xf numFmtId="0" fontId="5" fillId="0" borderId="0" xfId="1"/>
    <xf numFmtId="0" fontId="5" fillId="0" borderId="16" xfId="1" applyBorder="1"/>
    <xf numFmtId="0" fontId="8" fillId="0" borderId="0" xfId="1" applyFont="1"/>
    <xf numFmtId="0" fontId="5" fillId="0" borderId="17" xfId="1" applyBorder="1"/>
    <xf numFmtId="0" fontId="3" fillId="0" borderId="16" xfId="1" applyFont="1" applyBorder="1" applyAlignment="1">
      <alignment vertical="center" wrapText="1"/>
    </xf>
    <xf numFmtId="0" fontId="3" fillId="0" borderId="17" xfId="1" applyFont="1" applyBorder="1" applyAlignment="1">
      <alignment vertical="center" wrapText="1"/>
    </xf>
    <xf numFmtId="0" fontId="3" fillId="0" borderId="0" xfId="1" applyFont="1" applyAlignment="1">
      <alignment vertical="center" wrapText="1"/>
    </xf>
    <xf numFmtId="0" fontId="16" fillId="0" borderId="12" xfId="1" applyFont="1" applyBorder="1" applyAlignment="1">
      <alignment horizontal="center" vertical="center" wrapText="1"/>
    </xf>
    <xf numFmtId="0" fontId="8" fillId="0" borderId="14" xfId="1" applyFont="1" applyBorder="1" applyAlignment="1">
      <alignment horizontal="justify" vertical="center" wrapText="1"/>
    </xf>
    <xf numFmtId="0" fontId="8" fillId="0" borderId="15" xfId="1" applyFont="1" applyBorder="1" applyAlignment="1">
      <alignment horizontal="justify" vertical="center" wrapText="1"/>
    </xf>
    <xf numFmtId="0" fontId="8" fillId="0" borderId="16" xfId="1" applyFont="1" applyBorder="1" applyAlignment="1">
      <alignment vertical="center" wrapText="1"/>
    </xf>
    <xf numFmtId="0" fontId="8" fillId="0" borderId="0" xfId="1" applyFont="1" applyAlignment="1">
      <alignment vertical="center" wrapText="1"/>
    </xf>
    <xf numFmtId="0" fontId="8" fillId="0" borderId="17" xfId="1" applyFont="1" applyBorder="1" applyAlignment="1">
      <alignment vertical="center" wrapText="1"/>
    </xf>
    <xf numFmtId="0" fontId="8" fillId="0" borderId="18" xfId="1" applyFont="1" applyBorder="1" applyAlignment="1">
      <alignment vertical="center" wrapText="1"/>
    </xf>
    <xf numFmtId="0" fontId="8" fillId="0" borderId="19" xfId="1" applyFont="1" applyBorder="1" applyAlignment="1">
      <alignment vertical="center" wrapText="1"/>
    </xf>
    <xf numFmtId="0" fontId="8" fillId="0" borderId="20" xfId="1" applyFont="1" applyBorder="1" applyAlignment="1">
      <alignment vertical="center" wrapText="1"/>
    </xf>
    <xf numFmtId="0" fontId="14" fillId="4" borderId="12" xfId="1" applyFont="1" applyFill="1" applyBorder="1" applyAlignment="1">
      <alignment horizontal="center" vertical="center" wrapText="1"/>
    </xf>
    <xf numFmtId="0" fontId="4" fillId="0" borderId="0" xfId="1" applyFont="1" applyAlignment="1">
      <alignment horizontal="center" vertical="center" wrapText="1"/>
    </xf>
    <xf numFmtId="0" fontId="14" fillId="0" borderId="0" xfId="1" applyFont="1" applyAlignment="1">
      <alignment horizontal="center" vertical="center" wrapText="1"/>
    </xf>
    <xf numFmtId="0" fontId="8" fillId="0" borderId="0" xfId="1" applyFont="1" applyAlignment="1">
      <alignment horizontal="left" vertical="center" wrapText="1"/>
    </xf>
    <xf numFmtId="0" fontId="5" fillId="4" borderId="0" xfId="1" applyFill="1"/>
    <xf numFmtId="0" fontId="5" fillId="0" borderId="0" xfId="1" applyAlignment="1">
      <alignment vertical="center"/>
    </xf>
    <xf numFmtId="0" fontId="2" fillId="0" borderId="0" xfId="1" applyFont="1" applyAlignment="1">
      <alignment vertical="center" wrapText="1"/>
    </xf>
    <xf numFmtId="0" fontId="8" fillId="0" borderId="0" xfId="1" applyFont="1" applyAlignment="1">
      <alignment horizontal="left" vertical="center"/>
    </xf>
    <xf numFmtId="0" fontId="3" fillId="3" borderId="28" xfId="1" applyFont="1" applyFill="1" applyBorder="1" applyAlignment="1">
      <alignment horizontal="center" vertical="center" wrapText="1"/>
    </xf>
    <xf numFmtId="0" fontId="3" fillId="3" borderId="29" xfId="1" applyFont="1" applyFill="1" applyBorder="1" applyAlignment="1">
      <alignment horizontal="center" vertical="center"/>
    </xf>
    <xf numFmtId="0" fontId="2" fillId="0" borderId="0" xfId="1" applyFont="1"/>
    <xf numFmtId="0" fontId="4" fillId="4" borderId="31" xfId="1" applyFont="1" applyFill="1" applyBorder="1" applyAlignment="1">
      <alignment vertical="center" wrapText="1"/>
    </xf>
    <xf numFmtId="0" fontId="8" fillId="0" borderId="29" xfId="1" applyFont="1" applyBorder="1" applyAlignment="1">
      <alignment horizontal="left" vertical="center"/>
    </xf>
    <xf numFmtId="0" fontId="8" fillId="0" borderId="29" xfId="1" applyFont="1" applyBorder="1" applyAlignment="1">
      <alignment horizontal="left" vertical="center" wrapText="1"/>
    </xf>
    <xf numFmtId="14" fontId="8" fillId="4" borderId="29" xfId="1" applyNumberFormat="1" applyFont="1" applyFill="1" applyBorder="1" applyAlignment="1">
      <alignment horizontal="left" vertical="center"/>
    </xf>
    <xf numFmtId="165" fontId="8" fillId="0" borderId="29" xfId="1" applyNumberFormat="1" applyFont="1" applyBorder="1" applyAlignment="1">
      <alignment horizontal="left" vertical="center"/>
    </xf>
    <xf numFmtId="165" fontId="8" fillId="0" borderId="29" xfId="1" applyNumberFormat="1" applyFont="1" applyBorder="1" applyAlignment="1">
      <alignment horizontal="left" vertical="center" wrapText="1"/>
    </xf>
    <xf numFmtId="166" fontId="8" fillId="0" borderId="29" xfId="2" applyNumberFormat="1" applyFont="1" applyBorder="1" applyAlignment="1">
      <alignment horizontal="left" vertical="center" wrapText="1"/>
    </xf>
    <xf numFmtId="0" fontId="31" fillId="0" borderId="28" xfId="1" applyFont="1" applyBorder="1" applyAlignment="1">
      <alignment horizontal="left" vertical="center" wrapText="1" indent="4"/>
    </xf>
    <xf numFmtId="0" fontId="31" fillId="4" borderId="28" xfId="1" applyFont="1" applyFill="1" applyBorder="1" applyAlignment="1">
      <alignment horizontal="left" vertical="center" wrapText="1" indent="2"/>
    </xf>
    <xf numFmtId="0" fontId="8" fillId="0" borderId="30" xfId="1" applyFont="1" applyBorder="1" applyAlignment="1">
      <alignment horizontal="left" vertical="center" wrapText="1"/>
    </xf>
    <xf numFmtId="0" fontId="8" fillId="0" borderId="30" xfId="1" applyFont="1" applyBorder="1" applyAlignment="1">
      <alignment horizontal="left" vertical="center"/>
    </xf>
    <xf numFmtId="0" fontId="8" fillId="4" borderId="29" xfId="1" applyFont="1" applyFill="1" applyBorder="1" applyAlignment="1">
      <alignment horizontal="left" vertical="center"/>
    </xf>
    <xf numFmtId="0" fontId="8" fillId="0" borderId="33" xfId="1" applyFont="1" applyBorder="1" applyAlignment="1">
      <alignment horizontal="left" vertical="center"/>
    </xf>
    <xf numFmtId="0" fontId="5" fillId="0" borderId="1" xfId="1" applyBorder="1"/>
    <xf numFmtId="0" fontId="5" fillId="0" borderId="2" xfId="1" applyBorder="1"/>
    <xf numFmtId="0" fontId="4" fillId="0" borderId="0" xfId="1" applyFont="1" applyAlignment="1">
      <alignment vertical="center"/>
    </xf>
    <xf numFmtId="0" fontId="5" fillId="0" borderId="4" xfId="1" applyBorder="1"/>
    <xf numFmtId="0" fontId="5" fillId="0" borderId="6" xfId="1" applyBorder="1"/>
    <xf numFmtId="0" fontId="5" fillId="0" borderId="7" xfId="1" applyBorder="1"/>
    <xf numFmtId="0" fontId="34" fillId="0" borderId="16" xfId="1" applyFont="1" applyBorder="1" applyAlignment="1">
      <alignment horizontal="justify" vertical="center" wrapText="1"/>
    </xf>
    <xf numFmtId="0" fontId="34" fillId="0" borderId="0" xfId="1" applyFont="1" applyAlignment="1">
      <alignment horizontal="justify" vertical="center" wrapText="1"/>
    </xf>
    <xf numFmtId="0" fontId="34" fillId="0" borderId="17" xfId="1" applyFont="1" applyBorder="1" applyAlignment="1">
      <alignment horizontal="justify" vertical="center" wrapText="1"/>
    </xf>
    <xf numFmtId="0" fontId="2" fillId="4" borderId="12" xfId="1" applyFont="1" applyFill="1" applyBorder="1" applyAlignment="1">
      <alignment horizontal="center" vertical="center" wrapText="1"/>
    </xf>
    <xf numFmtId="0" fontId="2" fillId="4" borderId="12" xfId="1" applyFont="1" applyFill="1" applyBorder="1" applyAlignment="1">
      <alignment vertical="center" wrapText="1"/>
    </xf>
    <xf numFmtId="0" fontId="14" fillId="4" borderId="12" xfId="1" applyFont="1" applyFill="1" applyBorder="1" applyAlignment="1">
      <alignment horizontal="center" vertical="center"/>
    </xf>
    <xf numFmtId="166" fontId="14" fillId="4" borderId="12" xfId="1" applyNumberFormat="1" applyFont="1" applyFill="1" applyBorder="1" applyAlignment="1">
      <alignment horizontal="center" vertical="center"/>
    </xf>
    <xf numFmtId="1" fontId="29" fillId="4" borderId="12" xfId="1" applyNumberFormat="1" applyFont="1" applyFill="1" applyBorder="1" applyAlignment="1">
      <alignment horizontal="center" vertical="center"/>
    </xf>
    <xf numFmtId="0" fontId="2" fillId="0" borderId="12" xfId="1" applyFont="1" applyBorder="1" applyAlignment="1">
      <alignment horizontal="center" vertical="center" wrapText="1"/>
    </xf>
    <xf numFmtId="0" fontId="42" fillId="24" borderId="36" xfId="1" applyFont="1" applyFill="1" applyBorder="1" applyAlignment="1">
      <alignment horizontal="center" vertical="center" wrapText="1"/>
    </xf>
    <xf numFmtId="0" fontId="43" fillId="0" borderId="0" xfId="1" applyFont="1" applyAlignment="1">
      <alignment horizontal="center" vertical="center" wrapText="1"/>
    </xf>
    <xf numFmtId="0" fontId="44" fillId="0" borderId="0" xfId="1" applyFont="1" applyAlignment="1">
      <alignment horizontal="center" vertical="center" wrapText="1"/>
    </xf>
    <xf numFmtId="0" fontId="42" fillId="4" borderId="0" xfId="1" applyFont="1" applyFill="1" applyAlignment="1">
      <alignment horizontal="center" vertical="center" wrapText="1"/>
    </xf>
    <xf numFmtId="0" fontId="42" fillId="24" borderId="0" xfId="1" applyFont="1" applyFill="1" applyAlignment="1">
      <alignment horizontal="center" vertical="center" wrapText="1"/>
    </xf>
    <xf numFmtId="0" fontId="43" fillId="0" borderId="0" xfId="1" applyFont="1"/>
    <xf numFmtId="0" fontId="44" fillId="0" borderId="0" xfId="1" applyFont="1" applyAlignment="1">
      <alignment horizontal="left" vertical="center" wrapText="1"/>
    </xf>
    <xf numFmtId="0" fontId="42" fillId="25" borderId="36" xfId="1" applyFont="1" applyFill="1" applyBorder="1" applyAlignment="1">
      <alignment horizontal="center" vertical="center" wrapText="1"/>
    </xf>
    <xf numFmtId="0" fontId="5" fillId="0" borderId="37" xfId="1" applyBorder="1"/>
    <xf numFmtId="0" fontId="5" fillId="0" borderId="38" xfId="1" applyBorder="1"/>
    <xf numFmtId="0" fontId="5" fillId="0" borderId="38" xfId="1" applyBorder="1" applyAlignment="1">
      <alignment wrapText="1"/>
    </xf>
    <xf numFmtId="0" fontId="5" fillId="0" borderId="39" xfId="1" applyBorder="1"/>
    <xf numFmtId="0" fontId="5" fillId="0" borderId="38" xfId="1" quotePrefix="1" applyBorder="1"/>
    <xf numFmtId="0" fontId="5" fillId="0" borderId="40" xfId="1" applyBorder="1"/>
    <xf numFmtId="0" fontId="45" fillId="12" borderId="12" xfId="1" applyFont="1" applyFill="1" applyBorder="1" applyAlignment="1">
      <alignment horizontal="center" vertical="center" wrapText="1"/>
    </xf>
    <xf numFmtId="0" fontId="46" fillId="0" borderId="12" xfId="1" applyFont="1" applyBorder="1" applyAlignment="1">
      <alignment vertical="center"/>
    </xf>
    <xf numFmtId="0" fontId="5" fillId="0" borderId="12" xfId="1" applyBorder="1"/>
    <xf numFmtId="0" fontId="16" fillId="0" borderId="12" xfId="1" applyFont="1" applyBorder="1" applyAlignment="1">
      <alignment horizontal="left" vertical="center" wrapText="1"/>
    </xf>
    <xf numFmtId="0" fontId="47" fillId="10" borderId="12" xfId="1" applyFont="1" applyFill="1" applyBorder="1" applyAlignment="1">
      <alignment horizontal="center" vertical="center" wrapText="1"/>
    </xf>
    <xf numFmtId="0" fontId="48" fillId="11" borderId="12" xfId="1" applyFont="1" applyFill="1" applyBorder="1" applyAlignment="1">
      <alignment horizontal="center" vertical="center" wrapText="1"/>
    </xf>
    <xf numFmtId="0" fontId="47" fillId="13" borderId="12" xfId="1" applyFont="1" applyFill="1" applyBorder="1" applyAlignment="1">
      <alignment horizontal="center" vertical="center"/>
    </xf>
    <xf numFmtId="0" fontId="5" fillId="0" borderId="12" xfId="1" applyBorder="1" applyAlignment="1">
      <alignment wrapText="1"/>
    </xf>
    <xf numFmtId="0" fontId="8" fillId="0" borderId="41" xfId="1" applyFont="1" applyBorder="1" applyAlignment="1">
      <alignment horizontal="center" vertical="center"/>
    </xf>
    <xf numFmtId="0" fontId="7" fillId="15" borderId="12" xfId="1" applyFont="1" applyFill="1" applyBorder="1" applyAlignment="1">
      <alignment horizontal="center" vertical="center"/>
    </xf>
    <xf numFmtId="0" fontId="8" fillId="0" borderId="12" xfId="1" applyFont="1" applyBorder="1" applyAlignment="1">
      <alignment horizontal="center" vertical="center"/>
    </xf>
    <xf numFmtId="0" fontId="7" fillId="16" borderId="12" xfId="1" applyFont="1" applyFill="1" applyBorder="1" applyAlignment="1">
      <alignment horizontal="center" vertical="center"/>
    </xf>
    <xf numFmtId="0" fontId="7" fillId="17" borderId="12" xfId="1" applyFont="1" applyFill="1" applyBorder="1" applyAlignment="1">
      <alignment horizontal="center" vertical="center"/>
    </xf>
    <xf numFmtId="0" fontId="6" fillId="18" borderId="12" xfId="1" applyFont="1" applyFill="1" applyBorder="1" applyAlignment="1">
      <alignment horizontal="center" vertical="center"/>
    </xf>
    <xf numFmtId="49" fontId="5" fillId="0" borderId="0" xfId="1" applyNumberFormat="1"/>
    <xf numFmtId="0" fontId="5" fillId="0" borderId="1" xfId="1" applyBorder="1" applyAlignment="1">
      <alignment horizontal="center" vertical="center"/>
    </xf>
    <xf numFmtId="0" fontId="5" fillId="0" borderId="2" xfId="1" applyBorder="1" applyAlignment="1">
      <alignment horizontal="center" vertical="center"/>
    </xf>
    <xf numFmtId="0" fontId="5" fillId="0" borderId="2" xfId="1" applyBorder="1" applyAlignment="1">
      <alignment horizontal="left" vertical="center"/>
    </xf>
    <xf numFmtId="1" fontId="5" fillId="0" borderId="2" xfId="1" applyNumberFormat="1" applyBorder="1" applyAlignment="1">
      <alignment horizontal="center" vertical="center"/>
    </xf>
    <xf numFmtId="0" fontId="5" fillId="0" borderId="3" xfId="1" applyBorder="1" applyAlignment="1">
      <alignment horizontal="center" vertical="center"/>
    </xf>
    <xf numFmtId="0" fontId="4" fillId="26" borderId="22" xfId="1" applyFont="1" applyFill="1" applyBorder="1" applyAlignment="1">
      <alignment horizontal="center" vertical="center" wrapText="1"/>
    </xf>
    <xf numFmtId="0" fontId="8" fillId="0" borderId="43" xfId="1" applyFont="1" applyBorder="1" applyAlignment="1">
      <alignment horizontal="center" vertical="center" wrapText="1"/>
    </xf>
    <xf numFmtId="0" fontId="4" fillId="26" borderId="22" xfId="1" applyFont="1" applyFill="1" applyBorder="1" applyAlignment="1">
      <alignment vertical="center" wrapText="1"/>
    </xf>
    <xf numFmtId="0" fontId="30" fillId="26" borderId="22" xfId="1" applyFont="1" applyFill="1" applyBorder="1" applyAlignment="1">
      <alignment horizontal="center" vertical="center" wrapText="1"/>
    </xf>
    <xf numFmtId="0" fontId="5" fillId="0" borderId="6" xfId="1" applyBorder="1" applyAlignment="1">
      <alignment horizontal="center" vertical="center"/>
    </xf>
    <xf numFmtId="0" fontId="5" fillId="0" borderId="7" xfId="1" applyBorder="1" applyAlignment="1">
      <alignment horizontal="center" vertical="center"/>
    </xf>
    <xf numFmtId="0" fontId="5" fillId="0" borderId="7" xfId="1" applyBorder="1" applyAlignment="1">
      <alignment horizontal="left" vertical="center"/>
    </xf>
    <xf numFmtId="1" fontId="5" fillId="0" borderId="7" xfId="1" applyNumberFormat="1" applyBorder="1" applyAlignment="1">
      <alignment horizontal="center" vertical="center"/>
    </xf>
    <xf numFmtId="0" fontId="5" fillId="0" borderId="8" xfId="1" applyBorder="1" applyAlignment="1">
      <alignment horizontal="center" vertical="center"/>
    </xf>
    <xf numFmtId="0" fontId="7" fillId="28" borderId="52" xfId="1" applyFont="1" applyFill="1" applyBorder="1" applyAlignment="1">
      <alignment horizontal="center" vertical="center" wrapText="1"/>
    </xf>
    <xf numFmtId="0" fontId="7" fillId="28" borderId="53" xfId="1" applyFont="1" applyFill="1" applyBorder="1" applyAlignment="1">
      <alignment horizontal="center" vertical="center" wrapText="1"/>
    </xf>
    <xf numFmtId="0" fontId="7" fillId="29" borderId="53" xfId="1" applyFont="1" applyFill="1" applyBorder="1" applyAlignment="1">
      <alignment horizontal="center" vertical="center" wrapText="1"/>
    </xf>
    <xf numFmtId="0" fontId="7" fillId="30" borderId="48" xfId="1" applyFont="1" applyFill="1" applyBorder="1" applyAlignment="1">
      <alignment horizontal="center" vertical="center" wrapText="1"/>
    </xf>
    <xf numFmtId="0" fontId="7" fillId="31" borderId="53" xfId="1" applyFont="1" applyFill="1" applyBorder="1" applyAlignment="1">
      <alignment horizontal="center" vertical="center" wrapText="1"/>
    </xf>
    <xf numFmtId="0" fontId="8" fillId="32" borderId="54" xfId="1" applyFont="1" applyFill="1" applyBorder="1" applyAlignment="1">
      <alignment horizontal="center" vertical="center"/>
    </xf>
    <xf numFmtId="0" fontId="8" fillId="32" borderId="55" xfId="1" applyFont="1" applyFill="1" applyBorder="1" applyAlignment="1">
      <alignment horizontal="center" vertical="center"/>
    </xf>
    <xf numFmtId="0" fontId="8" fillId="32" borderId="56" xfId="1" applyFont="1" applyFill="1" applyBorder="1" applyAlignment="1">
      <alignment horizontal="left" vertical="center" wrapText="1"/>
    </xf>
    <xf numFmtId="0" fontId="8" fillId="32" borderId="55" xfId="1" applyFont="1" applyFill="1" applyBorder="1" applyAlignment="1">
      <alignment horizontal="left" vertical="center" wrapText="1"/>
    </xf>
    <xf numFmtId="0" fontId="8" fillId="32" borderId="56" xfId="1" applyFont="1" applyFill="1" applyBorder="1" applyAlignment="1">
      <alignment horizontal="center" vertical="center" wrapText="1"/>
    </xf>
    <xf numFmtId="0" fontId="8" fillId="32" borderId="56" xfId="1" applyFont="1" applyFill="1" applyBorder="1" applyAlignment="1">
      <alignment horizontal="center" vertical="center"/>
    </xf>
    <xf numFmtId="0" fontId="8" fillId="32" borderId="55" xfId="1" applyFont="1" applyFill="1" applyBorder="1" applyAlignment="1">
      <alignment horizontal="center" vertical="center" wrapText="1"/>
    </xf>
    <xf numFmtId="0" fontId="29" fillId="32" borderId="55" xfId="1" applyFont="1" applyFill="1" applyBorder="1" applyAlignment="1">
      <alignment horizontal="center" vertical="center" wrapText="1"/>
    </xf>
    <xf numFmtId="0" fontId="2" fillId="32" borderId="55" xfId="1" applyFont="1" applyFill="1" applyBorder="1" applyAlignment="1">
      <alignment horizontal="center" vertical="center" wrapText="1"/>
    </xf>
    <xf numFmtId="0" fontId="2" fillId="32" borderId="56" xfId="1" applyFont="1" applyFill="1" applyBorder="1" applyAlignment="1">
      <alignment horizontal="center" vertical="center" wrapText="1"/>
    </xf>
    <xf numFmtId="0" fontId="5" fillId="4" borderId="57" xfId="1" applyFill="1" applyBorder="1" applyAlignment="1">
      <alignment horizontal="center" vertical="center"/>
    </xf>
    <xf numFmtId="0" fontId="8" fillId="0" borderId="58" xfId="1" applyFont="1" applyBorder="1" applyAlignment="1">
      <alignment horizontal="left" vertical="center" wrapText="1"/>
    </xf>
    <xf numFmtId="0" fontId="8" fillId="0" borderId="59" xfId="1" applyFont="1" applyBorder="1" applyAlignment="1">
      <alignment horizontal="left" vertical="center" wrapText="1"/>
    </xf>
    <xf numFmtId="0" fontId="8" fillId="0" borderId="59" xfId="1" applyFont="1" applyBorder="1" applyAlignment="1">
      <alignment horizontal="center" vertical="center" wrapText="1"/>
    </xf>
    <xf numFmtId="0" fontId="8" fillId="4" borderId="58" xfId="1" applyFont="1" applyFill="1" applyBorder="1" applyAlignment="1">
      <alignment horizontal="center" vertical="center"/>
    </xf>
    <xf numFmtId="0" fontId="8" fillId="4" borderId="58" xfId="1" applyFont="1" applyFill="1" applyBorder="1" applyAlignment="1">
      <alignment horizontal="center" vertical="center" wrapText="1"/>
    </xf>
    <xf numFmtId="0" fontId="8" fillId="4" borderId="59" xfId="1" applyFont="1" applyFill="1" applyBorder="1" applyAlignment="1">
      <alignment horizontal="center" vertical="center" wrapText="1"/>
    </xf>
    <xf numFmtId="0" fontId="29" fillId="4" borderId="58" xfId="1" applyFont="1" applyFill="1" applyBorder="1" applyAlignment="1">
      <alignment horizontal="center" vertical="center" wrapText="1"/>
    </xf>
    <xf numFmtId="0" fontId="2" fillId="4" borderId="58" xfId="1" applyFont="1" applyFill="1" applyBorder="1" applyAlignment="1">
      <alignment horizontal="center" vertical="center" wrapText="1"/>
    </xf>
    <xf numFmtId="0" fontId="8" fillId="4" borderId="58" xfId="1" applyFont="1" applyFill="1" applyBorder="1" applyAlignment="1">
      <alignment horizontal="justify" vertical="center"/>
    </xf>
    <xf numFmtId="0" fontId="2" fillId="0" borderId="59" xfId="1" applyFont="1" applyBorder="1" applyAlignment="1">
      <alignment horizontal="center" vertical="center" wrapText="1"/>
    </xf>
    <xf numFmtId="0" fontId="5" fillId="32" borderId="57" xfId="1" applyFill="1" applyBorder="1" applyAlignment="1">
      <alignment horizontal="center" vertical="center"/>
    </xf>
    <xf numFmtId="0" fontId="8" fillId="32" borderId="59" xfId="1" applyFont="1" applyFill="1" applyBorder="1" applyAlignment="1">
      <alignment horizontal="left" vertical="center" wrapText="1"/>
    </xf>
    <xf numFmtId="0" fontId="8" fillId="32" borderId="58" xfId="1" applyFont="1" applyFill="1" applyBorder="1" applyAlignment="1">
      <alignment horizontal="center" vertical="center" wrapText="1"/>
    </xf>
    <xf numFmtId="0" fontId="8" fillId="32" borderId="58" xfId="1" applyFont="1" applyFill="1" applyBorder="1" applyAlignment="1">
      <alignment horizontal="center" vertical="center"/>
    </xf>
    <xf numFmtId="0" fontId="8" fillId="32" borderId="59" xfId="1" applyFont="1" applyFill="1" applyBorder="1" applyAlignment="1">
      <alignment horizontal="center" vertical="center" wrapText="1"/>
    </xf>
    <xf numFmtId="0" fontId="29" fillId="32" borderId="58" xfId="1" applyFont="1" applyFill="1" applyBorder="1" applyAlignment="1">
      <alignment horizontal="center" vertical="center" wrapText="1"/>
    </xf>
    <xf numFmtId="0" fontId="2" fillId="32" borderId="58" xfId="1" applyFont="1" applyFill="1" applyBorder="1" applyAlignment="1">
      <alignment horizontal="center" vertical="center" wrapText="1"/>
    </xf>
    <xf numFmtId="0" fontId="2" fillId="32" borderId="59" xfId="1" applyFont="1" applyFill="1" applyBorder="1" applyAlignment="1">
      <alignment horizontal="center" vertical="center" wrapText="1"/>
    </xf>
    <xf numFmtId="0" fontId="8" fillId="32" borderId="58" xfId="1" applyFont="1" applyFill="1" applyBorder="1" applyAlignment="1">
      <alignment horizontal="justify" vertical="center"/>
    </xf>
    <xf numFmtId="0" fontId="5" fillId="4" borderId="60" xfId="1" applyFill="1" applyBorder="1" applyAlignment="1">
      <alignment horizontal="center" vertical="center"/>
    </xf>
    <xf numFmtId="0" fontId="8" fillId="0" borderId="62" xfId="1" applyFont="1" applyBorder="1" applyAlignment="1">
      <alignment horizontal="left" vertical="center" wrapText="1"/>
    </xf>
    <xf numFmtId="0" fontId="8" fillId="4" borderId="61" xfId="1" applyFont="1" applyFill="1" applyBorder="1" applyAlignment="1">
      <alignment horizontal="center" vertical="center" wrapText="1"/>
    </xf>
    <xf numFmtId="0" fontId="8" fillId="4" borderId="61" xfId="1" applyFont="1" applyFill="1" applyBorder="1" applyAlignment="1">
      <alignment horizontal="center" vertical="center"/>
    </xf>
    <xf numFmtId="0" fontId="8" fillId="4" borderId="62" xfId="1" applyFont="1" applyFill="1" applyBorder="1" applyAlignment="1">
      <alignment horizontal="center" vertical="center" wrapText="1"/>
    </xf>
    <xf numFmtId="0" fontId="29" fillId="4" borderId="61" xfId="1" applyFont="1" applyFill="1" applyBorder="1" applyAlignment="1">
      <alignment horizontal="center" vertical="center" wrapText="1"/>
    </xf>
    <xf numFmtId="0" fontId="2" fillId="4" borderId="61" xfId="1" applyFont="1" applyFill="1" applyBorder="1" applyAlignment="1">
      <alignment horizontal="center" vertical="center" wrapText="1"/>
    </xf>
    <xf numFmtId="0" fontId="8" fillId="0" borderId="62" xfId="1" applyFont="1" applyBorder="1" applyAlignment="1">
      <alignment horizontal="center" vertical="center" wrapText="1"/>
    </xf>
    <xf numFmtId="0" fontId="8" fillId="4" borderId="61" xfId="1" applyFont="1" applyFill="1" applyBorder="1" applyAlignment="1">
      <alignment horizontal="justify" vertical="center"/>
    </xf>
    <xf numFmtId="0" fontId="2" fillId="0" borderId="62" xfId="1" applyFont="1" applyBorder="1" applyAlignment="1">
      <alignment horizontal="center" vertical="center" wrapText="1"/>
    </xf>
    <xf numFmtId="0" fontId="5" fillId="0" borderId="0" xfId="1" applyAlignment="1">
      <alignment horizontal="center" vertical="center"/>
    </xf>
    <xf numFmtId="0" fontId="8" fillId="0" borderId="0" xfId="1" applyFont="1" applyAlignment="1">
      <alignment horizontal="justify"/>
    </xf>
    <xf numFmtId="0" fontId="50" fillId="0" borderId="0" xfId="1" applyFont="1" applyAlignment="1">
      <alignment horizontal="justify"/>
    </xf>
    <xf numFmtId="0" fontId="50" fillId="0" borderId="0" xfId="1" applyFont="1" applyAlignment="1">
      <alignment horizontal="left" vertical="center"/>
    </xf>
    <xf numFmtId="0" fontId="8" fillId="0" borderId="0" xfId="1" applyFont="1" applyAlignment="1">
      <alignment horizontal="center" vertical="center" wrapText="1"/>
    </xf>
    <xf numFmtId="0" fontId="8" fillId="0" borderId="0" xfId="1" applyFont="1" applyAlignment="1">
      <alignment horizontal="justify" vertical="center"/>
    </xf>
    <xf numFmtId="1" fontId="8" fillId="0" borderId="0" xfId="1" applyNumberFormat="1" applyFont="1" applyAlignment="1">
      <alignment horizontal="center" vertical="center" wrapText="1"/>
    </xf>
    <xf numFmtId="0" fontId="2" fillId="0" borderId="0" xfId="1" applyFont="1" applyAlignment="1">
      <alignment horizontal="center" vertical="center" wrapText="1"/>
    </xf>
    <xf numFmtId="0" fontId="5" fillId="0" borderId="2" xfId="1" applyBorder="1" applyAlignment="1">
      <alignment horizontal="left"/>
    </xf>
    <xf numFmtId="0" fontId="5" fillId="0" borderId="2" xfId="1" applyBorder="1" applyAlignment="1">
      <alignment horizontal="center" vertical="center" wrapText="1"/>
    </xf>
    <xf numFmtId="14" fontId="5" fillId="0" borderId="43" xfId="1" applyNumberFormat="1" applyBorder="1" applyAlignment="1">
      <alignment horizontal="center" vertical="center"/>
    </xf>
    <xf numFmtId="0" fontId="5" fillId="0" borderId="22" xfId="1" applyBorder="1" applyAlignment="1">
      <alignment vertical="center"/>
    </xf>
    <xf numFmtId="0" fontId="5" fillId="0" borderId="44" xfId="1" applyBorder="1" applyAlignment="1">
      <alignment vertical="center"/>
    </xf>
    <xf numFmtId="0" fontId="5" fillId="0" borderId="38" xfId="1" applyBorder="1" applyAlignment="1">
      <alignment horizontal="center" vertical="center"/>
    </xf>
    <xf numFmtId="0" fontId="5" fillId="4" borderId="58" xfId="1" applyFill="1" applyBorder="1" applyAlignment="1">
      <alignment horizontal="center" vertical="center"/>
    </xf>
    <xf numFmtId="167" fontId="5" fillId="0" borderId="63" xfId="1" applyNumberFormat="1" applyBorder="1" applyAlignment="1">
      <alignment horizontal="center" vertical="center" wrapText="1"/>
    </xf>
    <xf numFmtId="0" fontId="5" fillId="0" borderId="7" xfId="1" applyBorder="1" applyAlignment="1">
      <alignment horizontal="left"/>
    </xf>
    <xf numFmtId="0" fontId="5" fillId="0" borderId="7" xfId="1" applyBorder="1" applyAlignment="1">
      <alignment horizontal="center" vertical="center" wrapText="1"/>
    </xf>
    <xf numFmtId="0" fontId="8" fillId="32" borderId="56" xfId="1" applyFont="1" applyFill="1" applyBorder="1" applyAlignment="1">
      <alignment horizontal="justify" vertical="center"/>
    </xf>
    <xf numFmtId="0" fontId="5" fillId="32" borderId="56" xfId="1" applyFill="1" applyBorder="1" applyAlignment="1">
      <alignment horizontal="center" vertical="center"/>
    </xf>
    <xf numFmtId="0" fontId="8" fillId="4" borderId="58" xfId="1" applyFont="1" applyFill="1" applyBorder="1" applyAlignment="1">
      <alignment horizontal="left" vertical="center" wrapText="1"/>
    </xf>
    <xf numFmtId="0" fontId="5" fillId="0" borderId="59" xfId="1" applyBorder="1" applyAlignment="1">
      <alignment horizontal="center" vertical="center"/>
    </xf>
    <xf numFmtId="0" fontId="5" fillId="32" borderId="59" xfId="1" applyFill="1" applyBorder="1" applyAlignment="1">
      <alignment horizontal="center" vertical="center"/>
    </xf>
    <xf numFmtId="0" fontId="8" fillId="4" borderId="61" xfId="1" applyFont="1" applyFill="1" applyBorder="1" applyAlignment="1">
      <alignment horizontal="left" vertical="center" wrapText="1"/>
    </xf>
    <xf numFmtId="0" fontId="8" fillId="0" borderId="61" xfId="1" applyFont="1" applyBorder="1" applyAlignment="1">
      <alignment horizontal="left" vertical="center" wrapText="1"/>
    </xf>
    <xf numFmtId="0" fontId="5" fillId="0" borderId="62" xfId="1" applyBorder="1" applyAlignment="1">
      <alignment horizontal="center" vertical="center"/>
    </xf>
    <xf numFmtId="0" fontId="8" fillId="0" borderId="0" xfId="1" applyFont="1" applyAlignment="1">
      <alignment horizontal="left"/>
    </xf>
    <xf numFmtId="0" fontId="5" fillId="0" borderId="0" xfId="1" applyAlignment="1">
      <alignment horizontal="center"/>
    </xf>
    <xf numFmtId="0" fontId="8" fillId="0" borderId="0" xfId="1" applyFont="1" applyAlignment="1">
      <alignment horizontal="center"/>
    </xf>
    <xf numFmtId="0" fontId="8" fillId="0" borderId="0" xfId="1" applyFont="1" applyAlignment="1">
      <alignment horizontal="center" vertical="center"/>
    </xf>
    <xf numFmtId="0" fontId="2" fillId="0" borderId="0" xfId="1" applyFont="1" applyAlignment="1">
      <alignment horizontal="justify"/>
    </xf>
    <xf numFmtId="0" fontId="4" fillId="4" borderId="31" xfId="1" applyFont="1" applyFill="1" applyBorder="1" applyAlignment="1">
      <alignment horizontal="justify" vertical="center" wrapText="1"/>
    </xf>
    <xf numFmtId="0" fontId="4" fillId="0" borderId="31" xfId="1" applyFont="1" applyBorder="1" applyAlignment="1">
      <alignment horizontal="justify" vertical="center" wrapText="1"/>
    </xf>
    <xf numFmtId="0" fontId="4" fillId="4" borderId="28" xfId="1" applyFont="1" applyFill="1" applyBorder="1" applyAlignment="1">
      <alignment horizontal="justify" vertical="center" wrapText="1"/>
    </xf>
    <xf numFmtId="0" fontId="4" fillId="21" borderId="31" xfId="1" applyFont="1" applyFill="1" applyBorder="1" applyAlignment="1">
      <alignment horizontal="justify" vertical="center" wrapText="1"/>
    </xf>
    <xf numFmtId="0" fontId="4" fillId="4" borderId="32" xfId="1" applyFont="1" applyFill="1" applyBorder="1" applyAlignment="1">
      <alignment horizontal="justify" vertical="center" wrapText="1"/>
    </xf>
    <xf numFmtId="0" fontId="4" fillId="4" borderId="34" xfId="1" applyFont="1" applyFill="1" applyBorder="1" applyAlignment="1">
      <alignment horizontal="justify" vertical="center" wrapText="1"/>
    </xf>
    <xf numFmtId="0" fontId="25" fillId="0" borderId="29" xfId="1" applyFont="1" applyBorder="1" applyAlignment="1">
      <alignment horizontal="left" vertical="center" wrapText="1"/>
    </xf>
    <xf numFmtId="0" fontId="25" fillId="0" borderId="30" xfId="1" applyFont="1" applyBorder="1" applyAlignment="1">
      <alignment horizontal="left" vertical="center" wrapText="1"/>
    </xf>
    <xf numFmtId="166" fontId="8" fillId="0" borderId="29" xfId="2" applyNumberFormat="1" applyFont="1" applyFill="1" applyBorder="1" applyAlignment="1">
      <alignment horizontal="left" vertical="center" wrapText="1"/>
    </xf>
    <xf numFmtId="0" fontId="5" fillId="0" borderId="71" xfId="1" applyBorder="1"/>
    <xf numFmtId="0" fontId="53" fillId="0" borderId="71" xfId="1" applyFont="1" applyBorder="1" applyAlignment="1">
      <alignment horizontal="center" vertical="center"/>
    </xf>
    <xf numFmtId="0" fontId="53" fillId="4" borderId="71" xfId="1" applyFont="1" applyFill="1" applyBorder="1" applyAlignment="1">
      <alignment horizontal="left" vertical="center" wrapText="1"/>
    </xf>
    <xf numFmtId="0" fontId="53" fillId="0" borderId="71" xfId="1" applyFont="1" applyBorder="1" applyAlignment="1">
      <alignment horizontal="left" vertical="center" wrapText="1"/>
    </xf>
    <xf numFmtId="0" fontId="53" fillId="4" borderId="71" xfId="1" applyFont="1" applyFill="1" applyBorder="1" applyAlignment="1">
      <alignment horizontal="center" vertical="center" wrapText="1"/>
    </xf>
    <xf numFmtId="0" fontId="53" fillId="0" borderId="71" xfId="1" applyFont="1" applyBorder="1" applyAlignment="1">
      <alignment horizontal="center" vertical="center" wrapText="1"/>
    </xf>
    <xf numFmtId="0" fontId="53" fillId="33" borderId="71" xfId="1" applyFont="1" applyFill="1" applyBorder="1" applyAlignment="1">
      <alignment horizontal="center" vertical="center"/>
    </xf>
    <xf numFmtId="0" fontId="53" fillId="32" borderId="71" xfId="1" applyFont="1" applyFill="1" applyBorder="1" applyAlignment="1">
      <alignment horizontal="left" vertical="center" wrapText="1"/>
    </xf>
    <xf numFmtId="0" fontId="53" fillId="33" borderId="71" xfId="1" applyFont="1" applyFill="1" applyBorder="1" applyAlignment="1">
      <alignment horizontal="center" vertical="center" wrapText="1"/>
    </xf>
    <xf numFmtId="0" fontId="53" fillId="32" borderId="71" xfId="1" applyFont="1" applyFill="1" applyBorder="1" applyAlignment="1">
      <alignment horizontal="center" vertical="center" wrapText="1"/>
    </xf>
    <xf numFmtId="0" fontId="53" fillId="32" borderId="71" xfId="1" applyFont="1" applyFill="1" applyBorder="1" applyAlignment="1">
      <alignment horizontal="center" vertical="center"/>
    </xf>
    <xf numFmtId="0" fontId="53" fillId="4" borderId="71" xfId="1" applyFont="1" applyFill="1" applyBorder="1" applyAlignment="1">
      <alignment horizontal="center" vertical="center"/>
    </xf>
    <xf numFmtId="0" fontId="53" fillId="33" borderId="71" xfId="1" applyFont="1" applyFill="1" applyBorder="1" applyAlignment="1">
      <alignment horizontal="left" vertical="center" wrapText="1"/>
    </xf>
    <xf numFmtId="0" fontId="54" fillId="33" borderId="71" xfId="1" applyFont="1" applyFill="1" applyBorder="1" applyAlignment="1">
      <alignment horizontal="left" vertical="center" wrapText="1"/>
    </xf>
    <xf numFmtId="0" fontId="54" fillId="4" borderId="71" xfId="1" applyFont="1" applyFill="1" applyBorder="1" applyAlignment="1">
      <alignment horizontal="left" vertical="center" wrapText="1"/>
    </xf>
    <xf numFmtId="0" fontId="53" fillId="0" borderId="0" xfId="1" applyFont="1"/>
    <xf numFmtId="0" fontId="8" fillId="0" borderId="71" xfId="1" applyFont="1" applyBorder="1"/>
    <xf numFmtId="0" fontId="53" fillId="0" borderId="71" xfId="1" applyFont="1" applyBorder="1"/>
    <xf numFmtId="0" fontId="53" fillId="0" borderId="43" xfId="1" applyFont="1" applyBorder="1" applyAlignment="1">
      <alignment horizontal="center" vertical="center" wrapText="1"/>
    </xf>
    <xf numFmtId="0" fontId="55" fillId="28" borderId="71" xfId="1" applyFont="1" applyFill="1" applyBorder="1" applyAlignment="1">
      <alignment horizontal="center" vertical="center" wrapText="1"/>
    </xf>
    <xf numFmtId="0" fontId="55" fillId="29" borderId="71" xfId="1" applyFont="1" applyFill="1" applyBorder="1" applyAlignment="1">
      <alignment horizontal="center" vertical="center" wrapText="1"/>
    </xf>
    <xf numFmtId="0" fontId="55" fillId="30" borderId="71" xfId="1" applyFont="1" applyFill="1" applyBorder="1" applyAlignment="1">
      <alignment horizontal="center" vertical="center" wrapText="1"/>
    </xf>
    <xf numFmtId="0" fontId="55" fillId="31" borderId="71" xfId="1" applyFont="1" applyFill="1" applyBorder="1" applyAlignment="1">
      <alignment horizontal="center" vertical="center" wrapText="1"/>
    </xf>
    <xf numFmtId="0" fontId="53" fillId="0" borderId="2" xfId="1" applyFont="1" applyBorder="1" applyAlignment="1">
      <alignment horizontal="center"/>
    </xf>
    <xf numFmtId="0" fontId="53" fillId="0" borderId="2" xfId="1" applyFont="1" applyBorder="1" applyAlignment="1">
      <alignment horizontal="center" vertical="center"/>
    </xf>
    <xf numFmtId="0" fontId="53" fillId="0" borderId="3" xfId="1" applyFont="1" applyBorder="1" applyAlignment="1">
      <alignment horizontal="center" vertical="center"/>
    </xf>
    <xf numFmtId="0" fontId="53" fillId="0" borderId="0" xfId="1" applyFont="1" applyAlignment="1">
      <alignment horizontal="center"/>
    </xf>
    <xf numFmtId="0" fontId="53" fillId="0" borderId="0" xfId="1" applyFont="1" applyAlignment="1">
      <alignment horizontal="center" vertical="center"/>
    </xf>
    <xf numFmtId="0" fontId="53" fillId="0" borderId="5" xfId="1" applyFont="1" applyBorder="1" applyAlignment="1">
      <alignment horizontal="center" vertical="center"/>
    </xf>
    <xf numFmtId="0" fontId="53" fillId="0" borderId="1" xfId="1" applyFont="1" applyBorder="1" applyAlignment="1">
      <alignment horizontal="center" vertical="center"/>
    </xf>
    <xf numFmtId="0" fontId="53" fillId="0" borderId="2" xfId="1" applyFont="1" applyBorder="1" applyAlignment="1">
      <alignment horizontal="left" vertical="center"/>
    </xf>
    <xf numFmtId="1" fontId="53" fillId="0" borderId="2" xfId="1" applyNumberFormat="1" applyFont="1" applyBorder="1" applyAlignment="1">
      <alignment horizontal="center" vertical="center"/>
    </xf>
    <xf numFmtId="0" fontId="55" fillId="26" borderId="22" xfId="1" applyFont="1" applyFill="1" applyBorder="1" applyAlignment="1">
      <alignment horizontal="center" vertical="center" wrapText="1"/>
    </xf>
    <xf numFmtId="0" fontId="53" fillId="0" borderId="38" xfId="1" applyFont="1" applyBorder="1" applyAlignment="1">
      <alignment horizontal="center" vertical="center" wrapText="1"/>
    </xf>
    <xf numFmtId="0" fontId="55" fillId="26" borderId="22" xfId="1" applyFont="1" applyFill="1" applyBorder="1" applyAlignment="1">
      <alignment vertical="center" wrapText="1"/>
    </xf>
    <xf numFmtId="0" fontId="56" fillId="26" borderId="22" xfId="1" applyFont="1" applyFill="1" applyBorder="1" applyAlignment="1">
      <alignment horizontal="center" vertical="center" wrapText="1"/>
    </xf>
    <xf numFmtId="0" fontId="53" fillId="4" borderId="45" xfId="1" applyFont="1" applyFill="1" applyBorder="1" applyAlignment="1">
      <alignment horizontal="center" vertical="center"/>
    </xf>
    <xf numFmtId="0" fontId="53" fillId="0" borderId="4" xfId="1" applyFont="1" applyBorder="1" applyAlignment="1">
      <alignment horizontal="center" vertical="center"/>
    </xf>
    <xf numFmtId="0" fontId="53" fillId="0" borderId="0" xfId="1" applyFont="1" applyAlignment="1">
      <alignment horizontal="left" vertical="center"/>
    </xf>
    <xf numFmtId="1" fontId="53" fillId="0" borderId="0" xfId="1" applyNumberFormat="1" applyFont="1" applyAlignment="1">
      <alignment horizontal="center" vertical="center"/>
    </xf>
    <xf numFmtId="0" fontId="53" fillId="33" borderId="71" xfId="1" applyFont="1" applyFill="1" applyBorder="1" applyAlignment="1">
      <alignment horizontal="left" vertical="center"/>
    </xf>
    <xf numFmtId="0" fontId="53" fillId="4" borderId="71" xfId="1" applyFont="1" applyFill="1" applyBorder="1" applyAlignment="1">
      <alignment horizontal="left" wrapText="1"/>
    </xf>
    <xf numFmtId="0" fontId="53" fillId="33" borderId="71" xfId="1" applyFont="1" applyFill="1" applyBorder="1" applyAlignment="1">
      <alignment horizontal="left" wrapText="1"/>
    </xf>
    <xf numFmtId="0" fontId="54" fillId="0" borderId="71" xfId="1" applyFont="1" applyBorder="1" applyAlignment="1">
      <alignment horizontal="left" vertical="center" wrapText="1"/>
    </xf>
    <xf numFmtId="0" fontId="8" fillId="0" borderId="29" xfId="1" applyFont="1" applyFill="1" applyBorder="1" applyAlignment="1">
      <alignment horizontal="left" vertical="center"/>
    </xf>
    <xf numFmtId="0" fontId="8" fillId="0" borderId="29" xfId="1" applyFont="1" applyFill="1" applyBorder="1" applyAlignment="1">
      <alignment horizontal="left" vertical="center" wrapText="1"/>
    </xf>
    <xf numFmtId="0" fontId="25" fillId="0" borderId="29" xfId="1" applyFont="1" applyFill="1" applyBorder="1" applyAlignment="1">
      <alignment horizontal="left" vertical="center"/>
    </xf>
    <xf numFmtId="0" fontId="8" fillId="0" borderId="12" xfId="1" applyFont="1" applyBorder="1" applyAlignment="1">
      <alignment horizontal="left" vertical="center"/>
    </xf>
    <xf numFmtId="0" fontId="25" fillId="0" borderId="0" xfId="1" applyFont="1" applyAlignment="1">
      <alignment vertical="center" wrapText="1"/>
    </xf>
    <xf numFmtId="0" fontId="8" fillId="0" borderId="71" xfId="1" applyFont="1" applyBorder="1" applyAlignment="1">
      <alignment horizontal="center" vertical="center" wrapText="1"/>
    </xf>
    <xf numFmtId="9" fontId="8" fillId="0" borderId="29" xfId="1" applyNumberFormat="1" applyFont="1" applyFill="1" applyBorder="1" applyAlignment="1">
      <alignment horizontal="left" vertical="center" wrapText="1"/>
    </xf>
    <xf numFmtId="0" fontId="8" fillId="0" borderId="30" xfId="1" applyFont="1" applyFill="1" applyBorder="1" applyAlignment="1">
      <alignment horizontal="left" vertical="center" wrapText="1"/>
    </xf>
    <xf numFmtId="0" fontId="4" fillId="0" borderId="12" xfId="1" applyFont="1" applyBorder="1" applyAlignment="1">
      <alignment horizontal="left" vertical="center" wrapText="1"/>
    </xf>
    <xf numFmtId="0" fontId="8" fillId="0" borderId="12" xfId="1" applyFont="1" applyBorder="1" applyAlignment="1">
      <alignment horizontal="left" vertical="center" wrapText="1"/>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8" fillId="4" borderId="12" xfId="1" applyFont="1" applyFill="1" applyBorder="1" applyAlignment="1">
      <alignment horizontal="left" vertical="center" wrapText="1"/>
    </xf>
    <xf numFmtId="0" fontId="4" fillId="0" borderId="12" xfId="1" applyFont="1" applyBorder="1" applyAlignment="1">
      <alignment horizontal="left" vertical="center"/>
    </xf>
    <xf numFmtId="0" fontId="8" fillId="0" borderId="12" xfId="1" applyFont="1" applyBorder="1" applyAlignment="1">
      <alignment horizontal="justify" vertical="center" wrapText="1"/>
    </xf>
    <xf numFmtId="0" fontId="8" fillId="4" borderId="12" xfId="1" applyFont="1" applyFill="1" applyBorder="1" applyAlignment="1">
      <alignment horizontal="justify" vertical="center" wrapText="1"/>
    </xf>
    <xf numFmtId="0" fontId="8" fillId="20" borderId="13" xfId="1" applyFont="1" applyFill="1" applyBorder="1" applyAlignment="1">
      <alignment horizontal="center" vertical="center" wrapText="1"/>
    </xf>
    <xf numFmtId="0" fontId="8" fillId="20" borderId="14" xfId="1" applyFont="1" applyFill="1" applyBorder="1" applyAlignment="1">
      <alignment horizontal="center" vertical="center" wrapText="1"/>
    </xf>
    <xf numFmtId="0" fontId="8" fillId="20" borderId="15" xfId="1" applyFont="1" applyFill="1" applyBorder="1" applyAlignment="1">
      <alignment horizontal="center" vertical="center" wrapText="1"/>
    </xf>
    <xf numFmtId="0" fontId="7" fillId="4" borderId="12" xfId="1" applyFont="1" applyFill="1" applyBorder="1" applyAlignment="1">
      <alignment horizontal="justify" vertical="center" wrapText="1"/>
    </xf>
    <xf numFmtId="0" fontId="4" fillId="0" borderId="13" xfId="1" applyFont="1" applyBorder="1" applyAlignment="1">
      <alignment vertical="center" wrapText="1"/>
    </xf>
    <xf numFmtId="0" fontId="4" fillId="0" borderId="14" xfId="1" applyFont="1" applyBorder="1" applyAlignment="1">
      <alignment vertical="center" wrapText="1"/>
    </xf>
    <xf numFmtId="0" fontId="4" fillId="0" borderId="15" xfId="1" applyFont="1" applyBorder="1" applyAlignment="1">
      <alignment vertical="center" wrapText="1"/>
    </xf>
    <xf numFmtId="0" fontId="4" fillId="0" borderId="16" xfId="1" applyFont="1" applyBorder="1" applyAlignment="1">
      <alignment vertical="center" wrapText="1"/>
    </xf>
    <xf numFmtId="0" fontId="4" fillId="0" borderId="0" xfId="1" applyFont="1" applyAlignment="1">
      <alignment vertical="center" wrapText="1"/>
    </xf>
    <xf numFmtId="0" fontId="4" fillId="0" borderId="17" xfId="1" applyFont="1" applyBorder="1" applyAlignment="1">
      <alignment vertical="center" wrapText="1"/>
    </xf>
    <xf numFmtId="0" fontId="4" fillId="0" borderId="18" xfId="1" applyFont="1" applyBorder="1" applyAlignment="1">
      <alignment vertical="center" wrapText="1"/>
    </xf>
    <xf numFmtId="0" fontId="4" fillId="0" borderId="19" xfId="1" applyFont="1" applyBorder="1" applyAlignment="1">
      <alignment vertical="center" wrapText="1"/>
    </xf>
    <xf numFmtId="0" fontId="4" fillId="0" borderId="20" xfId="1" applyFont="1" applyBorder="1" applyAlignment="1">
      <alignment vertical="center" wrapText="1"/>
    </xf>
    <xf numFmtId="0" fontId="8" fillId="0" borderId="13" xfId="1" applyFont="1" applyBorder="1" applyAlignment="1">
      <alignment horizontal="justify" vertical="center" wrapText="1"/>
    </xf>
    <xf numFmtId="0" fontId="8" fillId="0" borderId="14" xfId="1" applyFont="1" applyBorder="1" applyAlignment="1">
      <alignment horizontal="justify" vertical="center" wrapText="1"/>
    </xf>
    <xf numFmtId="0" fontId="8" fillId="0" borderId="15" xfId="1" applyFont="1" applyBorder="1" applyAlignment="1">
      <alignment horizontal="justify" vertical="center" wrapText="1"/>
    </xf>
    <xf numFmtId="0" fontId="8" fillId="0" borderId="16" xfId="1" applyFont="1" applyBorder="1" applyAlignment="1">
      <alignment horizontal="justify" vertical="center" wrapText="1"/>
    </xf>
    <xf numFmtId="0" fontId="8" fillId="0" borderId="0" xfId="1" applyFont="1" applyAlignment="1">
      <alignment horizontal="justify" vertical="center" wrapText="1"/>
    </xf>
    <xf numFmtId="0" fontId="8" fillId="0" borderId="17" xfId="1" applyFont="1" applyBorder="1" applyAlignment="1">
      <alignment horizontal="justify" vertical="center" wrapText="1"/>
    </xf>
    <xf numFmtId="0" fontId="8" fillId="0" borderId="18" xfId="1" applyFont="1" applyBorder="1" applyAlignment="1">
      <alignment horizontal="justify" vertical="center" wrapText="1"/>
    </xf>
    <xf numFmtId="0" fontId="8" fillId="0" borderId="19" xfId="1" applyFont="1" applyBorder="1" applyAlignment="1">
      <alignment horizontal="justify" vertical="center" wrapText="1"/>
    </xf>
    <xf numFmtId="0" fontId="8" fillId="0" borderId="20" xfId="1" applyFont="1" applyBorder="1" applyAlignment="1">
      <alignment horizontal="justify" vertical="center" wrapText="1"/>
    </xf>
    <xf numFmtId="0" fontId="25" fillId="0" borderId="12"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4" fillId="0" borderId="0" xfId="1" applyFont="1" applyAlignment="1">
      <alignment horizontal="left" vertical="center" wrapText="1"/>
    </xf>
    <xf numFmtId="0" fontId="4" fillId="0" borderId="17" xfId="1" applyFont="1" applyBorder="1" applyAlignment="1">
      <alignment horizontal="left" vertical="center" wrapText="1"/>
    </xf>
    <xf numFmtId="0" fontId="8" fillId="19" borderId="9" xfId="1" applyFont="1" applyFill="1" applyBorder="1" applyAlignment="1">
      <alignment horizontal="center" vertical="center" wrapText="1"/>
    </xf>
    <xf numFmtId="0" fontId="8" fillId="19" borderId="10" xfId="1" applyFont="1" applyFill="1" applyBorder="1" applyAlignment="1">
      <alignment horizontal="center" vertical="center" wrapText="1"/>
    </xf>
    <xf numFmtId="0" fontId="8" fillId="19" borderId="11" xfId="1" applyFont="1" applyFill="1" applyBorder="1" applyAlignment="1">
      <alignment horizontal="center" vertical="center" wrapText="1"/>
    </xf>
    <xf numFmtId="0" fontId="15" fillId="8" borderId="10" xfId="1" applyFont="1" applyFill="1" applyBorder="1" applyAlignment="1">
      <alignment horizontal="center" vertical="center" wrapText="1"/>
    </xf>
    <xf numFmtId="0" fontId="15" fillId="8" borderId="11" xfId="1" applyFont="1" applyFill="1" applyBorder="1" applyAlignment="1">
      <alignment horizontal="center" vertical="center" wrapText="1"/>
    </xf>
    <xf numFmtId="0" fontId="16" fillId="8" borderId="12" xfId="1" applyFont="1" applyFill="1" applyBorder="1" applyAlignment="1">
      <alignment horizontal="center" vertical="center" wrapText="1"/>
    </xf>
    <xf numFmtId="0" fontId="22" fillId="9" borderId="11" xfId="1" applyFont="1" applyFill="1" applyBorder="1" applyAlignment="1">
      <alignment horizontal="center" vertical="center" wrapText="1"/>
    </xf>
    <xf numFmtId="0" fontId="22" fillId="9" borderId="12" xfId="1" applyFont="1" applyFill="1" applyBorder="1" applyAlignment="1">
      <alignment horizontal="center" vertical="center" wrapText="1"/>
    </xf>
    <xf numFmtId="0" fontId="14" fillId="0" borderId="12" xfId="1" applyFont="1" applyBorder="1" applyAlignment="1">
      <alignment horizontal="center" vertical="center" wrapText="1"/>
    </xf>
    <xf numFmtId="0" fontId="18" fillId="13" borderId="12" xfId="1" applyFont="1" applyFill="1" applyBorder="1" applyAlignment="1">
      <alignment horizontal="center" vertical="center" wrapText="1"/>
    </xf>
    <xf numFmtId="0" fontId="18" fillId="10" borderId="12" xfId="1" applyFont="1" applyFill="1" applyBorder="1" applyAlignment="1">
      <alignment horizontal="center" vertical="center" wrapText="1"/>
    </xf>
    <xf numFmtId="0" fontId="19" fillId="11" borderId="12" xfId="1" applyFont="1" applyFill="1" applyBorder="1" applyAlignment="1">
      <alignment horizontal="center" vertical="center" wrapText="1"/>
    </xf>
    <xf numFmtId="0" fontId="17" fillId="0" borderId="12" xfId="1" applyFont="1" applyBorder="1" applyAlignment="1">
      <alignment horizontal="center" vertical="center" wrapText="1"/>
    </xf>
    <xf numFmtId="0" fontId="8" fillId="0" borderId="19" xfId="1" applyFont="1" applyBorder="1" applyAlignment="1">
      <alignment horizontal="left" vertical="center" wrapText="1"/>
    </xf>
    <xf numFmtId="0" fontId="6" fillId="9" borderId="11" xfId="1" applyFont="1" applyFill="1" applyBorder="1" applyAlignment="1">
      <alignment horizontal="center" vertical="center" textRotation="90" wrapText="1"/>
    </xf>
    <xf numFmtId="0" fontId="21" fillId="12" borderId="12" xfId="1" applyFont="1" applyFill="1" applyBorder="1" applyAlignment="1">
      <alignment horizontal="center" vertical="center" wrapText="1"/>
    </xf>
    <xf numFmtId="0" fontId="15" fillId="8" borderId="9" xfId="1" applyFont="1" applyFill="1" applyBorder="1" applyAlignment="1">
      <alignment horizontal="center" vertical="center" wrapText="1"/>
    </xf>
    <xf numFmtId="0" fontId="16" fillId="4" borderId="12" xfId="1" applyFont="1" applyFill="1" applyBorder="1" applyAlignment="1">
      <alignment horizontal="center" vertical="center" wrapText="1"/>
    </xf>
    <xf numFmtId="0" fontId="7" fillId="15" borderId="12" xfId="1" applyFont="1" applyFill="1" applyBorder="1" applyAlignment="1">
      <alignment horizontal="center" vertical="center"/>
    </xf>
    <xf numFmtId="0" fontId="7" fillId="16" borderId="12" xfId="1" applyFont="1" applyFill="1" applyBorder="1" applyAlignment="1">
      <alignment horizontal="center" vertical="center"/>
    </xf>
    <xf numFmtId="0" fontId="7" fillId="16" borderId="9" xfId="1" applyFont="1" applyFill="1" applyBorder="1" applyAlignment="1">
      <alignment horizontal="center" vertical="center"/>
    </xf>
    <xf numFmtId="0" fontId="7" fillId="16" borderId="10" xfId="1" applyFont="1" applyFill="1" applyBorder="1" applyAlignment="1">
      <alignment horizontal="center" vertical="center"/>
    </xf>
    <xf numFmtId="0" fontId="7" fillId="16" borderId="11" xfId="1" applyFont="1" applyFill="1" applyBorder="1" applyAlignment="1">
      <alignment horizontal="center" vertical="center"/>
    </xf>
    <xf numFmtId="0" fontId="7" fillId="17" borderId="9" xfId="1" applyFont="1" applyFill="1" applyBorder="1" applyAlignment="1">
      <alignment horizontal="center" vertical="center"/>
    </xf>
    <xf numFmtId="0" fontId="7" fillId="17" borderId="10" xfId="1" applyFont="1" applyFill="1" applyBorder="1" applyAlignment="1">
      <alignment horizontal="center" vertical="center"/>
    </xf>
    <xf numFmtId="0" fontId="7" fillId="17" borderId="11" xfId="1" applyFont="1" applyFill="1" applyBorder="1" applyAlignment="1">
      <alignment horizontal="center" vertical="center"/>
    </xf>
    <xf numFmtId="0" fontId="6" fillId="18" borderId="12" xfId="1" applyFont="1" applyFill="1" applyBorder="1" applyAlignment="1">
      <alignment horizontal="center" vertical="center"/>
    </xf>
    <xf numFmtId="0" fontId="3" fillId="7" borderId="11" xfId="1" applyFont="1" applyFill="1" applyBorder="1" applyAlignment="1">
      <alignment horizontal="center" vertical="center" wrapText="1"/>
    </xf>
    <xf numFmtId="0" fontId="3" fillId="7" borderId="12" xfId="1" applyFont="1" applyFill="1" applyBorder="1" applyAlignment="1">
      <alignment horizontal="center" vertical="center" wrapText="1"/>
    </xf>
    <xf numFmtId="0" fontId="3" fillId="7" borderId="12" xfId="1" applyFont="1" applyFill="1" applyBorder="1" applyAlignment="1">
      <alignment horizontal="center"/>
    </xf>
    <xf numFmtId="0" fontId="8" fillId="4" borderId="12" xfId="1" applyFont="1" applyFill="1" applyBorder="1" applyAlignment="1">
      <alignment horizontal="center" vertical="center"/>
    </xf>
    <xf numFmtId="0" fontId="4" fillId="0" borderId="16" xfId="1" applyFont="1" applyBorder="1" applyAlignment="1">
      <alignment horizontal="center" vertical="center" wrapText="1"/>
    </xf>
    <xf numFmtId="0" fontId="4" fillId="0" borderId="0" xfId="1" applyFont="1" applyAlignment="1">
      <alignment horizontal="center"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8" fillId="0" borderId="20" xfId="1" applyFont="1" applyBorder="1" applyAlignment="1">
      <alignment horizontal="left" vertical="center" wrapText="1"/>
    </xf>
    <xf numFmtId="0" fontId="3" fillId="7" borderId="11" xfId="1" applyFont="1" applyFill="1" applyBorder="1" applyAlignment="1">
      <alignment horizontal="center" vertical="center" textRotation="90"/>
    </xf>
    <xf numFmtId="0" fontId="7" fillId="17" borderId="12" xfId="1" applyFont="1" applyFill="1" applyBorder="1" applyAlignment="1">
      <alignment horizontal="center" vertical="center"/>
    </xf>
    <xf numFmtId="0" fontId="12" fillId="14" borderId="12" xfId="1" applyFont="1" applyFill="1" applyBorder="1" applyAlignment="1">
      <alignment horizontal="center" vertical="center"/>
    </xf>
    <xf numFmtId="0" fontId="24" fillId="5" borderId="12" xfId="1" applyFont="1" applyFill="1" applyBorder="1" applyAlignment="1">
      <alignment horizontal="center" vertical="center"/>
    </xf>
    <xf numFmtId="0" fontId="12" fillId="6" borderId="12" xfId="1" applyFont="1" applyFill="1" applyBorder="1" applyAlignment="1">
      <alignment horizontal="center" vertical="center"/>
    </xf>
    <xf numFmtId="0" fontId="12" fillId="6" borderId="12" xfId="1" applyFont="1" applyFill="1" applyBorder="1" applyAlignment="1">
      <alignment horizontal="center" vertical="center" wrapText="1"/>
    </xf>
    <xf numFmtId="0" fontId="8" fillId="0" borderId="21" xfId="1" applyFont="1" applyBorder="1" applyAlignment="1">
      <alignment horizontal="justify" vertical="center" wrapText="1"/>
    </xf>
    <xf numFmtId="0" fontId="8" fillId="0" borderId="22" xfId="1" applyFont="1" applyBorder="1" applyAlignment="1">
      <alignment horizontal="justify" vertical="center" wrapText="1"/>
    </xf>
    <xf numFmtId="0" fontId="8" fillId="0" borderId="23" xfId="1" applyFont="1" applyBorder="1" applyAlignment="1">
      <alignment horizontal="justify" vertical="center" wrapText="1"/>
    </xf>
    <xf numFmtId="0" fontId="4" fillId="0" borderId="12" xfId="1" applyFont="1" applyBorder="1" applyAlignment="1">
      <alignment vertical="center" wrapText="1"/>
    </xf>
    <xf numFmtId="0" fontId="11" fillId="5" borderId="12" xfId="1" applyFont="1" applyFill="1" applyBorder="1" applyAlignment="1">
      <alignment horizontal="center" vertical="center"/>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xf>
    <xf numFmtId="0" fontId="4" fillId="0" borderId="0" xfId="1" applyFont="1" applyAlignment="1">
      <alignment horizontal="left" vertical="center"/>
    </xf>
    <xf numFmtId="0" fontId="4" fillId="0" borderId="17" xfId="1" applyFont="1" applyBorder="1" applyAlignment="1">
      <alignment horizontal="left" vertical="center"/>
    </xf>
    <xf numFmtId="0" fontId="4" fillId="0" borderId="18" xfId="1" applyFont="1" applyBorder="1" applyAlignment="1">
      <alignment horizontal="left" vertical="center"/>
    </xf>
    <xf numFmtId="0" fontId="4" fillId="0" borderId="19" xfId="1" applyFont="1" applyBorder="1" applyAlignment="1">
      <alignment horizontal="left" vertical="center"/>
    </xf>
    <xf numFmtId="0" fontId="4" fillId="0" borderId="20" xfId="1" applyFont="1" applyBorder="1" applyAlignment="1">
      <alignment horizontal="left" vertical="center"/>
    </xf>
    <xf numFmtId="0" fontId="8" fillId="0" borderId="13" xfId="1" applyFont="1" applyBorder="1" applyAlignment="1">
      <alignment horizontal="left" vertical="center" wrapText="1"/>
    </xf>
    <xf numFmtId="0" fontId="8" fillId="0" borderId="14" xfId="1" applyFont="1" applyBorder="1" applyAlignment="1">
      <alignment horizontal="left" vertical="center" wrapText="1"/>
    </xf>
    <xf numFmtId="0" fontId="8" fillId="0" borderId="15" xfId="1" applyFont="1" applyBorder="1" applyAlignment="1">
      <alignment horizontal="left" vertical="center" wrapText="1"/>
    </xf>
    <xf numFmtId="0" fontId="8" fillId="4" borderId="18" xfId="1" applyFont="1" applyFill="1" applyBorder="1" applyAlignment="1">
      <alignment horizontal="left" vertical="center" wrapText="1"/>
    </xf>
    <xf numFmtId="0" fontId="8" fillId="4" borderId="19" xfId="1" applyFont="1" applyFill="1" applyBorder="1" applyAlignment="1">
      <alignment horizontal="left" vertical="center" wrapText="1"/>
    </xf>
    <xf numFmtId="0" fontId="8" fillId="4" borderId="20" xfId="1" applyFont="1" applyFill="1" applyBorder="1" applyAlignment="1">
      <alignment horizontal="left" vertical="center" wrapText="1"/>
    </xf>
    <xf numFmtId="0" fontId="8" fillId="0" borderId="12" xfId="1" applyFont="1" applyBorder="1" applyAlignment="1">
      <alignment horizontal="left" vertical="center"/>
    </xf>
    <xf numFmtId="0" fontId="4" fillId="4" borderId="13"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17" xfId="1" applyFont="1" applyFill="1" applyBorder="1" applyAlignment="1">
      <alignment horizontal="center" vertical="center" wrapText="1"/>
    </xf>
    <xf numFmtId="0" fontId="8" fillId="4" borderId="13" xfId="1" applyFont="1" applyFill="1" applyBorder="1" applyAlignment="1">
      <alignment horizontal="justify" vertical="center" wrapText="1"/>
    </xf>
    <xf numFmtId="0" fontId="8" fillId="4" borderId="14" xfId="1" applyFont="1" applyFill="1" applyBorder="1" applyAlignment="1">
      <alignment horizontal="justify" vertical="center" wrapText="1"/>
    </xf>
    <xf numFmtId="0" fontId="8" fillId="4" borderId="15" xfId="1" applyFont="1" applyFill="1" applyBorder="1" applyAlignment="1">
      <alignment horizontal="justify" vertical="center" wrapText="1"/>
    </xf>
    <xf numFmtId="0" fontId="8" fillId="4" borderId="16" xfId="1" applyFont="1" applyFill="1" applyBorder="1" applyAlignment="1">
      <alignment horizontal="justify" vertical="center" wrapText="1"/>
    </xf>
    <xf numFmtId="0" fontId="8" fillId="4" borderId="0" xfId="1" applyFont="1" applyFill="1" applyAlignment="1">
      <alignment horizontal="justify" vertical="center" wrapText="1"/>
    </xf>
    <xf numFmtId="0" fontId="8" fillId="4" borderId="17" xfId="1" applyFont="1" applyFill="1" applyBorder="1" applyAlignment="1">
      <alignment horizontal="justify" vertical="center" wrapText="1"/>
    </xf>
    <xf numFmtId="0" fontId="11" fillId="5" borderId="9" xfId="1" applyFont="1" applyFill="1" applyBorder="1" applyAlignment="1">
      <alignment horizontal="center" vertical="center"/>
    </xf>
    <xf numFmtId="0" fontId="11" fillId="5" borderId="11" xfId="1" applyFont="1" applyFill="1" applyBorder="1" applyAlignment="1">
      <alignment horizontal="center" vertical="center"/>
    </xf>
    <xf numFmtId="0" fontId="11" fillId="5" borderId="10" xfId="1" applyFont="1" applyFill="1" applyBorder="1" applyAlignment="1">
      <alignment horizontal="center" vertical="center"/>
    </xf>
    <xf numFmtId="0" fontId="5" fillId="0" borderId="16" xfId="1" applyBorder="1" applyAlignment="1">
      <alignment horizontal="center"/>
    </xf>
    <xf numFmtId="0" fontId="5" fillId="0" borderId="17" xfId="1" applyBorder="1" applyAlignment="1">
      <alignment horizontal="center"/>
    </xf>
    <xf numFmtId="0" fontId="12" fillId="6" borderId="9" xfId="1" applyFont="1" applyFill="1" applyBorder="1" applyAlignment="1">
      <alignment horizontal="center" vertical="center"/>
    </xf>
    <xf numFmtId="0" fontId="12" fillId="6" borderId="11" xfId="1" applyFont="1" applyFill="1" applyBorder="1" applyAlignment="1">
      <alignment horizontal="center" vertical="center"/>
    </xf>
    <xf numFmtId="0" fontId="13" fillId="6" borderId="12" xfId="1" applyFont="1" applyFill="1" applyBorder="1" applyAlignment="1">
      <alignment horizontal="center" vertical="center" wrapText="1"/>
    </xf>
    <xf numFmtId="0" fontId="16" fillId="8" borderId="9" xfId="1" applyFont="1" applyFill="1" applyBorder="1" applyAlignment="1">
      <alignment horizontal="center" vertical="center" wrapText="1"/>
    </xf>
    <xf numFmtId="0" fontId="16" fillId="8" borderId="10" xfId="1" applyFont="1" applyFill="1" applyBorder="1" applyAlignment="1">
      <alignment horizontal="center" vertical="center" wrapText="1"/>
    </xf>
    <xf numFmtId="0" fontId="16" fillId="8" borderId="11" xfId="1" applyFont="1" applyFill="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8" fillId="0" borderId="18" xfId="1" applyFont="1" applyBorder="1" applyAlignment="1">
      <alignment horizontal="left" wrapText="1"/>
    </xf>
    <xf numFmtId="0" fontId="8" fillId="0" borderId="19" xfId="1" applyFont="1" applyBorder="1" applyAlignment="1">
      <alignment horizontal="left" wrapText="1"/>
    </xf>
    <xf numFmtId="0" fontId="8" fillId="0" borderId="20" xfId="1" applyFont="1" applyBorder="1" applyAlignment="1">
      <alignment horizontal="left" wrapText="1"/>
    </xf>
    <xf numFmtId="0" fontId="3" fillId="7" borderId="13" xfId="1" applyFont="1" applyFill="1" applyBorder="1" applyAlignment="1">
      <alignment horizontal="center" vertical="center" wrapText="1"/>
    </xf>
    <xf numFmtId="0" fontId="3" fillId="7" borderId="14" xfId="1" applyFont="1" applyFill="1" applyBorder="1" applyAlignment="1">
      <alignment horizontal="center" vertical="center" wrapText="1"/>
    </xf>
    <xf numFmtId="0" fontId="3" fillId="7" borderId="15" xfId="1" applyFont="1" applyFill="1" applyBorder="1" applyAlignment="1">
      <alignment horizontal="center" vertical="center" wrapText="1"/>
    </xf>
    <xf numFmtId="0" fontId="3" fillId="7" borderId="18" xfId="1" applyFont="1" applyFill="1" applyBorder="1" applyAlignment="1">
      <alignment horizontal="center" vertical="center" wrapText="1"/>
    </xf>
    <xf numFmtId="0" fontId="3" fillId="7" borderId="19" xfId="1" applyFont="1" applyFill="1" applyBorder="1" applyAlignment="1">
      <alignment horizontal="center" vertical="center" wrapText="1"/>
    </xf>
    <xf numFmtId="0" fontId="3" fillId="7" borderId="20" xfId="1" applyFont="1" applyFill="1" applyBorder="1" applyAlignment="1">
      <alignment horizontal="center" vertical="center" wrapText="1"/>
    </xf>
    <xf numFmtId="0" fontId="3" fillId="7" borderId="12" xfId="1" applyFont="1" applyFill="1" applyBorder="1" applyAlignment="1">
      <alignment horizontal="center" vertical="center"/>
    </xf>
    <xf numFmtId="0" fontId="5" fillId="0" borderId="1" xfId="1" applyBorder="1" applyAlignment="1">
      <alignment horizontal="center"/>
    </xf>
    <xf numFmtId="0" fontId="5" fillId="0" borderId="2" xfId="1" applyBorder="1" applyAlignment="1">
      <alignment horizontal="center"/>
    </xf>
    <xf numFmtId="0" fontId="5" fillId="0" borderId="3" xfId="1" applyBorder="1" applyAlignment="1">
      <alignment horizontal="center"/>
    </xf>
    <xf numFmtId="0" fontId="5" fillId="0" borderId="4" xfId="1" applyBorder="1" applyAlignment="1">
      <alignment horizontal="center"/>
    </xf>
    <xf numFmtId="0" fontId="5" fillId="0" borderId="0" xfId="1" applyAlignment="1">
      <alignment horizontal="center"/>
    </xf>
    <xf numFmtId="0" fontId="5" fillId="0" borderId="5" xfId="1" applyBorder="1" applyAlignment="1">
      <alignment horizontal="center"/>
    </xf>
    <xf numFmtId="0" fontId="5" fillId="0" borderId="6" xfId="1" applyBorder="1" applyAlignment="1">
      <alignment horizontal="center"/>
    </xf>
    <xf numFmtId="0" fontId="5" fillId="0" borderId="7" xfId="1" applyBorder="1" applyAlignment="1">
      <alignment horizontal="center"/>
    </xf>
    <xf numFmtId="0" fontId="5" fillId="0" borderId="8" xfId="1" applyBorder="1" applyAlignment="1">
      <alignment horizontal="center"/>
    </xf>
    <xf numFmtId="0" fontId="4" fillId="0" borderId="2" xfId="1" applyFont="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6" fillId="3" borderId="12" xfId="1" applyFont="1" applyFill="1" applyBorder="1" applyAlignment="1">
      <alignment horizontal="center" vertical="center"/>
    </xf>
    <xf numFmtId="0" fontId="7" fillId="4" borderId="9"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7" fillId="4" borderId="11" xfId="1" applyFont="1" applyFill="1" applyBorder="1" applyAlignment="1">
      <alignment horizontal="center" vertical="center" wrapText="1"/>
    </xf>
    <xf numFmtId="0" fontId="4" fillId="2" borderId="28"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29" xfId="1" applyFont="1" applyFill="1" applyBorder="1" applyAlignment="1">
      <alignment horizontal="center" vertical="center"/>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0" fontId="28" fillId="0" borderId="3" xfId="1" applyFont="1" applyBorder="1" applyAlignment="1">
      <alignment horizontal="center" vertical="center" wrapText="1"/>
    </xf>
    <xf numFmtId="0" fontId="28" fillId="0" borderId="5" xfId="1" applyFont="1" applyBorder="1" applyAlignment="1">
      <alignment horizontal="center" vertical="center" wrapText="1"/>
    </xf>
    <xf numFmtId="0" fontId="28" fillId="0" borderId="8" xfId="1" applyFont="1" applyBorder="1" applyAlignment="1">
      <alignment horizontal="center" vertical="center" wrapText="1"/>
    </xf>
    <xf numFmtId="0" fontId="28" fillId="2" borderId="24" xfId="1" applyFont="1" applyFill="1" applyBorder="1" applyAlignment="1">
      <alignment horizontal="center" vertical="center"/>
    </xf>
    <xf numFmtId="0" fontId="28" fillId="2" borderId="25" xfId="1" applyFont="1" applyFill="1" applyBorder="1" applyAlignment="1">
      <alignment horizontal="center" vertical="center"/>
    </xf>
    <xf numFmtId="0" fontId="2" fillId="0" borderId="26" xfId="1" applyFont="1" applyBorder="1" applyAlignment="1">
      <alignment horizontal="left" vertical="center" wrapText="1"/>
    </xf>
    <xf numFmtId="0" fontId="2" fillId="0" borderId="27" xfId="1" applyFont="1" applyBorder="1" applyAlignment="1">
      <alignment horizontal="left" vertical="center" wrapText="1"/>
    </xf>
    <xf numFmtId="0" fontId="27" fillId="8" borderId="12" xfId="1" applyFont="1" applyFill="1" applyBorder="1" applyAlignment="1">
      <alignment horizontal="center" vertical="center" wrapText="1"/>
    </xf>
    <xf numFmtId="0" fontId="29" fillId="8" borderId="12" xfId="1" applyFont="1" applyFill="1" applyBorder="1" applyAlignment="1">
      <alignment horizontal="center" vertical="center" wrapText="1"/>
    </xf>
    <xf numFmtId="0" fontId="27" fillId="8" borderId="13" xfId="1" applyFont="1" applyFill="1" applyBorder="1" applyAlignment="1">
      <alignment horizontal="center" vertical="center" wrapText="1"/>
    </xf>
    <xf numFmtId="0" fontId="27" fillId="8" borderId="14" xfId="1" applyFont="1" applyFill="1" applyBorder="1" applyAlignment="1">
      <alignment horizontal="center" vertical="center" wrapText="1"/>
    </xf>
    <xf numFmtId="0" fontId="27" fillId="8" borderId="15" xfId="1" applyFont="1" applyFill="1" applyBorder="1" applyAlignment="1">
      <alignment horizontal="center" vertical="center" wrapText="1"/>
    </xf>
    <xf numFmtId="0" fontId="27" fillId="8" borderId="18" xfId="1" applyFont="1" applyFill="1" applyBorder="1" applyAlignment="1">
      <alignment horizontal="center" vertical="center" wrapText="1"/>
    </xf>
    <xf numFmtId="0" fontId="27" fillId="8" borderId="19" xfId="1" applyFont="1" applyFill="1" applyBorder="1" applyAlignment="1">
      <alignment horizontal="center" vertical="center" wrapText="1"/>
    </xf>
    <xf numFmtId="0" fontId="27" fillId="8" borderId="20" xfId="1" applyFont="1" applyFill="1" applyBorder="1" applyAlignment="1">
      <alignment horizontal="center" vertical="center" wrapText="1"/>
    </xf>
    <xf numFmtId="0" fontId="29" fillId="8" borderId="9" xfId="1" applyFont="1" applyFill="1" applyBorder="1" applyAlignment="1">
      <alignment horizontal="center" vertical="center" wrapText="1"/>
    </xf>
    <xf numFmtId="0" fontId="29" fillId="8" borderId="11" xfId="1" applyFont="1" applyFill="1" applyBorder="1" applyAlignment="1">
      <alignment horizontal="center" vertical="center" wrapText="1"/>
    </xf>
    <xf numFmtId="1" fontId="29" fillId="4" borderId="12" xfId="1" applyNumberFormat="1" applyFont="1" applyFill="1" applyBorder="1" applyAlignment="1">
      <alignment horizontal="center" vertical="center"/>
    </xf>
    <xf numFmtId="0" fontId="37" fillId="13" borderId="9" xfId="1" applyFont="1" applyFill="1" applyBorder="1" applyAlignment="1">
      <alignment horizontal="center" vertical="center" wrapText="1"/>
    </xf>
    <xf numFmtId="0" fontId="37" fillId="13" borderId="11" xfId="1" applyFont="1" applyFill="1" applyBorder="1" applyAlignment="1">
      <alignment horizontal="center" vertical="center" wrapText="1"/>
    </xf>
    <xf numFmtId="0" fontId="37" fillId="10" borderId="9" xfId="1" applyFont="1" applyFill="1" applyBorder="1" applyAlignment="1">
      <alignment horizontal="center" vertical="center" wrapText="1"/>
    </xf>
    <xf numFmtId="0" fontId="37" fillId="10" borderId="11" xfId="1" applyFont="1" applyFill="1" applyBorder="1" applyAlignment="1">
      <alignment horizontal="center" vertical="center" wrapText="1"/>
    </xf>
    <xf numFmtId="166" fontId="14" fillId="4" borderId="9" xfId="1" applyNumberFormat="1" applyFont="1" applyFill="1" applyBorder="1" applyAlignment="1">
      <alignment horizontal="center" vertical="center"/>
    </xf>
    <xf numFmtId="166" fontId="14" fillId="4" borderId="11" xfId="1" applyNumberFormat="1" applyFont="1" applyFill="1" applyBorder="1" applyAlignment="1">
      <alignment horizontal="center" vertical="center"/>
    </xf>
    <xf numFmtId="0" fontId="11" fillId="9" borderId="14" xfId="1" applyFont="1" applyFill="1" applyBorder="1" applyAlignment="1">
      <alignment horizontal="center" vertical="center" wrapText="1"/>
    </xf>
    <xf numFmtId="0" fontId="11" fillId="9" borderId="17" xfId="1" applyFont="1" applyFill="1" applyBorder="1" applyAlignment="1">
      <alignment horizontal="center" vertical="center" wrapText="1"/>
    </xf>
    <xf numFmtId="0" fontId="11" fillId="9" borderId="19" xfId="1" applyFont="1" applyFill="1" applyBorder="1" applyAlignment="1">
      <alignment horizontal="center" vertical="center" wrapText="1"/>
    </xf>
    <xf numFmtId="0" fontId="11" fillId="9" borderId="20" xfId="1" applyFont="1" applyFill="1" applyBorder="1" applyAlignment="1">
      <alignment horizontal="center" vertical="center" wrapText="1"/>
    </xf>
    <xf numFmtId="0" fontId="41" fillId="9" borderId="9" xfId="1" applyFont="1" applyFill="1" applyBorder="1" applyAlignment="1">
      <alignment horizontal="center" vertical="center" wrapText="1"/>
    </xf>
    <xf numFmtId="0" fontId="41" fillId="9" borderId="10" xfId="1" applyFont="1" applyFill="1" applyBorder="1" applyAlignment="1">
      <alignment horizontal="center" vertical="center" wrapText="1"/>
    </xf>
    <xf numFmtId="0" fontId="41" fillId="9" borderId="11" xfId="1" applyFont="1" applyFill="1" applyBorder="1" applyAlignment="1">
      <alignment horizontal="center" vertical="center" wrapText="1"/>
    </xf>
    <xf numFmtId="0" fontId="28" fillId="0" borderId="9" xfId="1" applyFont="1" applyBorder="1" applyAlignment="1">
      <alignment horizontal="center" vertical="center" wrapText="1"/>
    </xf>
    <xf numFmtId="0" fontId="28" fillId="0" borderId="11" xfId="1" applyFont="1" applyBorder="1" applyAlignment="1">
      <alignment horizontal="center" vertical="center" wrapText="1"/>
    </xf>
    <xf numFmtId="0" fontId="38" fillId="11" borderId="9" xfId="1" applyFont="1" applyFill="1" applyBorder="1" applyAlignment="1">
      <alignment horizontal="center" vertical="center" wrapText="1"/>
    </xf>
    <xf numFmtId="0" fontId="38" fillId="11" borderId="11" xfId="1" applyFont="1" applyFill="1" applyBorder="1" applyAlignment="1">
      <alignment horizontal="center" vertical="center" wrapText="1"/>
    </xf>
    <xf numFmtId="0" fontId="40" fillId="12" borderId="9" xfId="1" applyFont="1" applyFill="1" applyBorder="1" applyAlignment="1">
      <alignment horizontal="center" vertical="center" wrapText="1"/>
    </xf>
    <xf numFmtId="0" fontId="40" fillId="12" borderId="11" xfId="1" applyFont="1" applyFill="1" applyBorder="1" applyAlignment="1">
      <alignment horizontal="center" vertical="center" wrapText="1"/>
    </xf>
    <xf numFmtId="0" fontId="33" fillId="23" borderId="12" xfId="1" applyFont="1" applyFill="1" applyBorder="1" applyAlignment="1">
      <alignment horizontal="center" vertical="center"/>
    </xf>
    <xf numFmtId="0" fontId="35" fillId="9" borderId="15" xfId="1" applyFont="1" applyFill="1" applyBorder="1" applyAlignment="1">
      <alignment horizontal="center" vertical="center" textRotation="90" wrapText="1"/>
    </xf>
    <xf numFmtId="0" fontId="35" fillId="9" borderId="17" xfId="1" applyFont="1" applyFill="1" applyBorder="1" applyAlignment="1">
      <alignment horizontal="center" vertical="center" textRotation="90" wrapText="1"/>
    </xf>
    <xf numFmtId="0" fontId="35" fillId="9" borderId="20" xfId="1" applyFont="1" applyFill="1" applyBorder="1" applyAlignment="1">
      <alignment horizontal="center" vertical="center" textRotation="90" wrapText="1"/>
    </xf>
    <xf numFmtId="0" fontId="27" fillId="8" borderId="16" xfId="1" applyFont="1" applyFill="1" applyBorder="1" applyAlignment="1">
      <alignment horizontal="center" vertical="center" wrapText="1"/>
    </xf>
    <xf numFmtId="0" fontId="27" fillId="8" borderId="0" xfId="1" applyFont="1" applyFill="1" applyAlignment="1">
      <alignment horizontal="center" vertical="center" wrapText="1"/>
    </xf>
    <xf numFmtId="0" fontId="29" fillId="8" borderId="13" xfId="1" applyFont="1" applyFill="1" applyBorder="1" applyAlignment="1">
      <alignment horizontal="center" vertical="center" wrapText="1"/>
    </xf>
    <xf numFmtId="0" fontId="29" fillId="8" borderId="15" xfId="1" applyFont="1" applyFill="1" applyBorder="1" applyAlignment="1">
      <alignment horizontal="center" vertical="center" wrapText="1"/>
    </xf>
    <xf numFmtId="166" fontId="14" fillId="4" borderId="12" xfId="1" applyNumberFormat="1" applyFont="1" applyFill="1" applyBorder="1" applyAlignment="1">
      <alignment horizontal="center" vertical="center"/>
    </xf>
    <xf numFmtId="0" fontId="3" fillId="7" borderId="35" xfId="1" applyFont="1" applyFill="1" applyBorder="1" applyAlignment="1">
      <alignment horizontal="center" vertical="center" wrapText="1"/>
    </xf>
    <xf numFmtId="0" fontId="35" fillId="7" borderId="12" xfId="1" applyFont="1" applyFill="1" applyBorder="1" applyAlignment="1">
      <alignment horizontal="center" vertical="center"/>
    </xf>
    <xf numFmtId="0" fontId="28" fillId="4" borderId="12" xfId="1" applyFont="1" applyFill="1" applyBorder="1" applyAlignment="1">
      <alignment horizontal="center" vertical="center"/>
    </xf>
    <xf numFmtId="0" fontId="36" fillId="15" borderId="9" xfId="1" applyFont="1" applyFill="1" applyBorder="1" applyAlignment="1">
      <alignment horizontal="center" vertical="center"/>
    </xf>
    <xf numFmtId="0" fontId="36" fillId="15" borderId="11" xfId="1" applyFont="1" applyFill="1" applyBorder="1" applyAlignment="1">
      <alignment horizontal="center" vertical="center"/>
    </xf>
    <xf numFmtId="0" fontId="36" fillId="15" borderId="12" xfId="1" applyFont="1" applyFill="1" applyBorder="1" applyAlignment="1">
      <alignment horizontal="center" vertical="center"/>
    </xf>
    <xf numFmtId="0" fontId="36" fillId="16" borderId="12" xfId="1" applyFont="1" applyFill="1" applyBorder="1" applyAlignment="1">
      <alignment horizontal="center" vertical="center"/>
    </xf>
    <xf numFmtId="0" fontId="36" fillId="17" borderId="12" xfId="1" applyFont="1" applyFill="1" applyBorder="1" applyAlignment="1">
      <alignment horizontal="center" vertical="center"/>
    </xf>
    <xf numFmtId="0" fontId="35" fillId="18" borderId="1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28" fillId="0" borderId="12" xfId="1" applyFont="1" applyBorder="1" applyAlignment="1">
      <alignment horizontal="justify" vertical="center" wrapText="1"/>
    </xf>
    <xf numFmtId="0" fontId="32" fillId="0" borderId="12" xfId="1" applyFont="1" applyBorder="1" applyAlignment="1">
      <alignment horizontal="justify" vertical="center" wrapText="1"/>
    </xf>
    <xf numFmtId="0" fontId="33" fillId="22" borderId="12" xfId="1" applyFont="1" applyFill="1" applyBorder="1" applyAlignment="1">
      <alignment horizontal="center" vertical="center"/>
    </xf>
    <xf numFmtId="0" fontId="35" fillId="7" borderId="12" xfId="1" applyFont="1" applyFill="1" applyBorder="1" applyAlignment="1">
      <alignment horizontal="center" vertical="center" textRotation="90"/>
    </xf>
    <xf numFmtId="0" fontId="46" fillId="0" borderId="12" xfId="1" applyFont="1" applyBorder="1" applyAlignment="1">
      <alignment horizontal="center" vertical="center"/>
    </xf>
    <xf numFmtId="0" fontId="57" fillId="27" borderId="71" xfId="1" applyFont="1" applyFill="1" applyBorder="1" applyAlignment="1">
      <alignment horizontal="center" vertical="center" wrapText="1"/>
    </xf>
    <xf numFmtId="0" fontId="57" fillId="24" borderId="71" xfId="1" applyFont="1" applyFill="1" applyBorder="1" applyAlignment="1">
      <alignment horizontal="center" vertical="center" wrapText="1"/>
    </xf>
    <xf numFmtId="1" fontId="55" fillId="29" borderId="71" xfId="1" applyNumberFormat="1" applyFont="1" applyFill="1" applyBorder="1" applyAlignment="1">
      <alignment horizontal="center" vertical="center" wrapText="1"/>
    </xf>
    <xf numFmtId="0" fontId="53" fillId="0" borderId="1" xfId="1" applyFont="1" applyBorder="1" applyAlignment="1">
      <alignment horizontal="center"/>
    </xf>
    <xf numFmtId="0" fontId="53" fillId="0" borderId="2" xfId="1" applyFont="1" applyBorder="1" applyAlignment="1">
      <alignment horizontal="center"/>
    </xf>
    <xf numFmtId="0" fontId="53" fillId="0" borderId="3" xfId="1" applyFont="1" applyBorder="1" applyAlignment="1">
      <alignment horizontal="center"/>
    </xf>
    <xf numFmtId="0" fontId="53" fillId="0" borderId="4" xfId="1" applyFont="1" applyBorder="1" applyAlignment="1">
      <alignment horizontal="center"/>
    </xf>
    <xf numFmtId="0" fontId="53" fillId="0" borderId="0" xfId="1" applyFont="1" applyAlignment="1">
      <alignment horizontal="center"/>
    </xf>
    <xf numFmtId="0" fontId="53" fillId="0" borderId="5" xfId="1" applyFont="1" applyBorder="1" applyAlignment="1">
      <alignment horizontal="center"/>
    </xf>
    <xf numFmtId="0" fontId="53" fillId="0" borderId="6" xfId="1" applyFont="1" applyBorder="1" applyAlignment="1">
      <alignment horizontal="center"/>
    </xf>
    <xf numFmtId="0" fontId="53" fillId="0" borderId="7" xfId="1" applyFont="1" applyBorder="1" applyAlignment="1">
      <alignment horizontal="center"/>
    </xf>
    <xf numFmtId="0" fontId="53" fillId="0" borderId="8" xfId="1" applyFont="1" applyBorder="1" applyAlignment="1">
      <alignment horizontal="center"/>
    </xf>
    <xf numFmtId="0" fontId="55" fillId="0" borderId="2" xfId="1" applyFont="1" applyBorder="1" applyAlignment="1">
      <alignment horizontal="center" vertical="center" wrapText="1"/>
    </xf>
    <xf numFmtId="0" fontId="53" fillId="0" borderId="2" xfId="1" applyFont="1" applyBorder="1" applyAlignment="1">
      <alignment horizontal="center" vertical="center"/>
    </xf>
    <xf numFmtId="0" fontId="53" fillId="0" borderId="3" xfId="1" applyFont="1" applyBorder="1" applyAlignment="1">
      <alignment horizontal="center" vertical="center"/>
    </xf>
    <xf numFmtId="0" fontId="53" fillId="0" borderId="0" xfId="1" applyFont="1" applyAlignment="1">
      <alignment horizontal="center" vertical="center"/>
    </xf>
    <xf numFmtId="0" fontId="53" fillId="0" borderId="5" xfId="1" applyFont="1" applyBorder="1" applyAlignment="1">
      <alignment horizontal="center" vertical="center"/>
    </xf>
    <xf numFmtId="0" fontId="53" fillId="0" borderId="7" xfId="1" applyFont="1" applyBorder="1" applyAlignment="1">
      <alignment horizontal="center" vertical="center"/>
    </xf>
    <xf numFmtId="0" fontId="53" fillId="0" borderId="8" xfId="1" applyFont="1" applyBorder="1" applyAlignment="1">
      <alignment horizontal="center" vertical="center"/>
    </xf>
    <xf numFmtId="0" fontId="55" fillId="26" borderId="42" xfId="1" applyFont="1" applyFill="1" applyBorder="1" applyAlignment="1">
      <alignment horizontal="center" vertical="center" wrapText="1"/>
    </xf>
    <xf numFmtId="0" fontId="55" fillId="26" borderId="22" xfId="1" applyFont="1" applyFill="1" applyBorder="1" applyAlignment="1">
      <alignment horizontal="center" vertical="center" wrapText="1"/>
    </xf>
    <xf numFmtId="0" fontId="53" fillId="0" borderId="43" xfId="1" applyFont="1" applyBorder="1" applyAlignment="1">
      <alignment horizontal="center" vertical="center" wrapText="1"/>
    </xf>
    <xf numFmtId="0" fontId="53" fillId="0" borderId="22" xfId="1" applyFont="1" applyBorder="1" applyAlignment="1">
      <alignment horizontal="center" vertical="center" wrapText="1"/>
    </xf>
    <xf numFmtId="0" fontId="53" fillId="0" borderId="44" xfId="1" applyFont="1" applyBorder="1" applyAlignment="1">
      <alignment horizontal="center" vertical="center" wrapText="1"/>
    </xf>
    <xf numFmtId="14" fontId="53" fillId="0" borderId="43" xfId="1" applyNumberFormat="1" applyFont="1" applyBorder="1" applyAlignment="1">
      <alignment horizontal="center" vertical="center"/>
    </xf>
    <xf numFmtId="14" fontId="53" fillId="0" borderId="22" xfId="1" applyNumberFormat="1" applyFont="1" applyBorder="1" applyAlignment="1">
      <alignment horizontal="center" vertical="center"/>
    </xf>
    <xf numFmtId="14" fontId="53" fillId="0" borderId="44" xfId="1" applyNumberFormat="1" applyFont="1" applyBorder="1" applyAlignment="1">
      <alignment horizontal="center" vertical="center"/>
    </xf>
    <xf numFmtId="0" fontId="2" fillId="32" borderId="67" xfId="1" applyFont="1" applyFill="1" applyBorder="1" applyAlignment="1">
      <alignment horizontal="center" vertical="center"/>
    </xf>
    <xf numFmtId="0" fontId="2" fillId="32" borderId="68" xfId="1" applyFont="1" applyFill="1" applyBorder="1" applyAlignment="1">
      <alignment horizontal="center" vertical="center"/>
    </xf>
    <xf numFmtId="0" fontId="2" fillId="0" borderId="67" xfId="1" applyFont="1" applyBorder="1" applyAlignment="1">
      <alignment horizontal="center" vertical="center"/>
    </xf>
    <xf numFmtId="0" fontId="2" fillId="0" borderId="68" xfId="1" applyFont="1" applyBorder="1" applyAlignment="1">
      <alignment horizontal="center" vertical="center"/>
    </xf>
    <xf numFmtId="0" fontId="2" fillId="0" borderId="69" xfId="1" applyFont="1" applyBorder="1" applyAlignment="1">
      <alignment horizontal="center" vertical="center"/>
    </xf>
    <xf numFmtId="0" fontId="2" fillId="0" borderId="70" xfId="1" applyFont="1" applyBorder="1" applyAlignment="1">
      <alignment horizontal="center" vertical="center"/>
    </xf>
    <xf numFmtId="0" fontId="36" fillId="0" borderId="2" xfId="1" applyFont="1" applyBorder="1" applyAlignment="1">
      <alignment horizontal="center" vertical="center" wrapText="1"/>
    </xf>
    <xf numFmtId="0" fontId="49" fillId="0" borderId="2" xfId="1" applyFont="1" applyBorder="1" applyAlignment="1">
      <alignment horizontal="center" vertical="center"/>
    </xf>
    <xf numFmtId="0" fontId="49" fillId="0" borderId="3" xfId="1" applyFont="1" applyBorder="1" applyAlignment="1">
      <alignment horizontal="center" vertical="center"/>
    </xf>
    <xf numFmtId="0" fontId="49" fillId="0" borderId="0" xfId="1" applyFont="1" applyAlignment="1">
      <alignment horizontal="center" vertical="center"/>
    </xf>
    <xf numFmtId="0" fontId="49" fillId="0" borderId="5" xfId="1" applyFont="1" applyBorder="1" applyAlignment="1">
      <alignment horizontal="center" vertical="center"/>
    </xf>
    <xf numFmtId="0" fontId="49" fillId="0" borderId="7" xfId="1" applyFont="1" applyBorder="1" applyAlignment="1">
      <alignment horizontal="center" vertical="center"/>
    </xf>
    <xf numFmtId="0" fontId="49" fillId="0" borderId="8" xfId="1" applyFont="1" applyBorder="1" applyAlignment="1">
      <alignment horizontal="center" vertical="center"/>
    </xf>
    <xf numFmtId="0" fontId="4" fillId="26" borderId="42" xfId="1" applyFont="1" applyFill="1" applyBorder="1" applyAlignment="1">
      <alignment horizontal="center" vertical="center" wrapText="1"/>
    </xf>
    <xf numFmtId="0" fontId="4" fillId="26" borderId="22" xfId="1" applyFont="1" applyFill="1" applyBorder="1" applyAlignment="1">
      <alignment horizontal="center" vertical="center" wrapText="1"/>
    </xf>
    <xf numFmtId="0" fontId="1" fillId="0" borderId="43" xfId="1" applyFont="1" applyBorder="1" applyAlignment="1">
      <alignment horizontal="center" vertical="center" wrapText="1"/>
    </xf>
    <xf numFmtId="0" fontId="5" fillId="0" borderId="22" xfId="1" applyBorder="1" applyAlignment="1">
      <alignment horizontal="center" vertical="center" wrapText="1"/>
    </xf>
    <xf numFmtId="0" fontId="5" fillId="0" borderId="44" xfId="1" applyBorder="1" applyAlignment="1">
      <alignment horizontal="center" vertical="center" wrapText="1"/>
    </xf>
    <xf numFmtId="0" fontId="3" fillId="27" borderId="46" xfId="1" applyFont="1" applyFill="1" applyBorder="1" applyAlignment="1">
      <alignment horizontal="center" vertical="center" wrapText="1"/>
    </xf>
    <xf numFmtId="0" fontId="3" fillId="27" borderId="47" xfId="1" applyFont="1" applyFill="1" applyBorder="1" applyAlignment="1">
      <alignment horizontal="center" vertical="center" wrapText="1"/>
    </xf>
    <xf numFmtId="0" fontId="3" fillId="24" borderId="48" xfId="1" applyFont="1" applyFill="1" applyBorder="1" applyAlignment="1">
      <alignment horizontal="center" vertical="center" wrapText="1"/>
    </xf>
    <xf numFmtId="0" fontId="3" fillId="24" borderId="49" xfId="1" applyFont="1" applyFill="1" applyBorder="1" applyAlignment="1">
      <alignment horizontal="center" vertical="center" wrapText="1"/>
    </xf>
    <xf numFmtId="0" fontId="3" fillId="24" borderId="50" xfId="1" applyFont="1" applyFill="1" applyBorder="1" applyAlignment="1">
      <alignment horizontal="center" vertical="center" wrapText="1"/>
    </xf>
    <xf numFmtId="0" fontId="3" fillId="24" borderId="51" xfId="1" applyFont="1" applyFill="1" applyBorder="1" applyAlignment="1">
      <alignment horizontal="center" vertical="center" wrapText="1"/>
    </xf>
    <xf numFmtId="0" fontId="3" fillId="24" borderId="2" xfId="1" applyFont="1" applyFill="1" applyBorder="1" applyAlignment="1">
      <alignment horizontal="center" vertical="center" wrapText="1"/>
    </xf>
    <xf numFmtId="0" fontId="3" fillId="24" borderId="64" xfId="1" applyFont="1" applyFill="1" applyBorder="1" applyAlignment="1">
      <alignment horizontal="center" vertical="center" wrapText="1"/>
    </xf>
    <xf numFmtId="0" fontId="3" fillId="24" borderId="25" xfId="1" applyFont="1" applyFill="1" applyBorder="1" applyAlignment="1">
      <alignment horizontal="center" vertical="center" wrapText="1"/>
    </xf>
    <xf numFmtId="1" fontId="7" fillId="29" borderId="48" xfId="1" applyNumberFormat="1" applyFont="1" applyFill="1" applyBorder="1" applyAlignment="1">
      <alignment horizontal="center" vertical="center" wrapText="1"/>
    </xf>
    <xf numFmtId="1" fontId="7" fillId="29" borderId="49" xfId="1" applyNumberFormat="1" applyFont="1" applyFill="1" applyBorder="1" applyAlignment="1">
      <alignment horizontal="center" vertical="center" wrapText="1"/>
    </xf>
    <xf numFmtId="1" fontId="7" fillId="29" borderId="50" xfId="1" applyNumberFormat="1" applyFont="1" applyFill="1" applyBorder="1" applyAlignment="1">
      <alignment horizontal="center" vertical="center" wrapText="1"/>
    </xf>
    <xf numFmtId="0" fontId="7" fillId="28" borderId="48" xfId="1" applyFont="1" applyFill="1" applyBorder="1" applyAlignment="1">
      <alignment horizontal="center" vertical="center" wrapText="1"/>
    </xf>
    <xf numFmtId="0" fontId="7" fillId="28" borderId="25" xfId="1" applyFont="1" applyFill="1" applyBorder="1" applyAlignment="1">
      <alignment horizontal="center" vertical="center" wrapText="1"/>
    </xf>
    <xf numFmtId="0" fontId="2" fillId="32" borderId="65" xfId="1" applyFont="1" applyFill="1" applyBorder="1" applyAlignment="1">
      <alignment horizontal="center" vertical="center" wrapText="1"/>
    </xf>
    <xf numFmtId="0" fontId="2" fillId="32" borderId="66" xfId="1" applyFont="1" applyFill="1" applyBorder="1" applyAlignment="1">
      <alignment horizontal="center" vertical="center" wrapText="1"/>
    </xf>
  </cellXfs>
  <cellStyles count="3">
    <cellStyle name="Moneda 2" xfId="2" xr:uid="{00000000-0005-0000-0000-000000000000}"/>
    <cellStyle name="Normal" xfId="0" builtinId="0"/>
    <cellStyle name="Normal 2" xfId="1" xr:uid="{00000000-0005-0000-0000-000002000000}"/>
  </cellStyles>
  <dxfs count="94">
    <dxf>
      <fill>
        <patternFill>
          <bgColor rgb="FF2FFF2F"/>
        </patternFill>
      </fill>
    </dxf>
    <dxf>
      <fill>
        <patternFill>
          <bgColor rgb="FFFFFF37"/>
        </patternFill>
      </fill>
    </dxf>
    <dxf>
      <fill>
        <patternFill>
          <bgColor rgb="FFFEC200"/>
        </patternFill>
      </fill>
    </dxf>
    <dxf>
      <fill>
        <patternFill>
          <bgColor rgb="FFFF2F2F"/>
        </patternFill>
      </fill>
    </dxf>
    <dxf>
      <fill>
        <patternFill>
          <bgColor rgb="FFB5EDB5"/>
        </patternFill>
      </fill>
    </dxf>
    <dxf>
      <fill>
        <patternFill>
          <bgColor rgb="FF8AE28A"/>
        </patternFill>
      </fill>
    </dxf>
    <dxf>
      <fill>
        <patternFill>
          <bgColor rgb="FF69D969"/>
        </patternFill>
      </fill>
    </dxf>
    <dxf>
      <fill>
        <patternFill>
          <bgColor rgb="FF37CD37"/>
        </patternFill>
      </fill>
    </dxf>
    <dxf>
      <fill>
        <patternFill>
          <bgColor rgb="FF2FFF2F"/>
        </patternFill>
      </fill>
    </dxf>
    <dxf>
      <fill>
        <patternFill>
          <bgColor rgb="FFFFFF37"/>
        </patternFill>
      </fill>
    </dxf>
    <dxf>
      <fill>
        <patternFill>
          <bgColor rgb="FFFEC200"/>
        </patternFill>
      </fill>
    </dxf>
    <dxf>
      <fill>
        <patternFill>
          <bgColor rgb="FFFF2F2F"/>
        </patternFill>
      </fill>
    </dxf>
    <dxf>
      <fill>
        <patternFill>
          <bgColor rgb="FFB5EDB5"/>
        </patternFill>
      </fill>
    </dxf>
    <dxf>
      <fill>
        <patternFill>
          <bgColor rgb="FF8AE28A"/>
        </patternFill>
      </fill>
    </dxf>
    <dxf>
      <fill>
        <patternFill>
          <bgColor rgb="FF69D969"/>
        </patternFill>
      </fill>
    </dxf>
    <dxf>
      <fill>
        <patternFill>
          <bgColor rgb="FF37CD37"/>
        </patternFill>
      </fill>
    </dxf>
    <dxf>
      <fill>
        <patternFill>
          <bgColor rgb="FF08F80E"/>
        </patternFill>
      </fill>
    </dxf>
    <dxf>
      <fill>
        <patternFill>
          <bgColor rgb="FFFFFF1D"/>
        </patternFill>
      </fill>
    </dxf>
    <dxf>
      <fill>
        <patternFill>
          <bgColor rgb="FFEA9C00"/>
        </patternFill>
      </fill>
    </dxf>
    <dxf>
      <fill>
        <patternFill>
          <bgColor rgb="FFFF2525"/>
        </patternFill>
      </fill>
    </dxf>
    <dxf>
      <fill>
        <patternFill>
          <bgColor rgb="FFA1E7A1"/>
        </patternFill>
      </fill>
    </dxf>
    <dxf>
      <fill>
        <patternFill>
          <bgColor rgb="FF79DD79"/>
        </patternFill>
      </fill>
    </dxf>
    <dxf>
      <fill>
        <patternFill>
          <bgColor rgb="FF59D559"/>
        </patternFill>
      </fill>
    </dxf>
    <dxf>
      <fill>
        <patternFill>
          <bgColor rgb="FF2FBB2F"/>
        </patternFill>
      </fill>
    </dxf>
    <dxf>
      <fill>
        <patternFill>
          <bgColor rgb="FF2FFF2F"/>
        </patternFill>
      </fill>
    </dxf>
    <dxf>
      <fill>
        <patternFill>
          <bgColor rgb="FFFFFF37"/>
        </patternFill>
      </fill>
    </dxf>
    <dxf>
      <fill>
        <patternFill>
          <bgColor rgb="FFFEC200"/>
        </patternFill>
      </fill>
    </dxf>
    <dxf>
      <fill>
        <patternFill>
          <bgColor rgb="FFFF2F2F"/>
        </patternFill>
      </fill>
    </dxf>
    <dxf>
      <fill>
        <patternFill>
          <bgColor rgb="FFB5EDB5"/>
        </patternFill>
      </fill>
    </dxf>
    <dxf>
      <fill>
        <patternFill>
          <bgColor rgb="FF8AE28A"/>
        </patternFill>
      </fill>
    </dxf>
    <dxf>
      <fill>
        <patternFill>
          <bgColor rgb="FF69D969"/>
        </patternFill>
      </fill>
    </dxf>
    <dxf>
      <fill>
        <patternFill>
          <bgColor rgb="FF37CD37"/>
        </patternFill>
      </fill>
    </dxf>
    <dxf>
      <fill>
        <patternFill>
          <bgColor rgb="FF2FFF2F"/>
        </patternFill>
      </fill>
    </dxf>
    <dxf>
      <fill>
        <patternFill>
          <bgColor rgb="FFFFFF37"/>
        </patternFill>
      </fill>
    </dxf>
    <dxf>
      <fill>
        <patternFill>
          <bgColor rgb="FFFEC200"/>
        </patternFill>
      </fill>
    </dxf>
    <dxf>
      <fill>
        <patternFill>
          <bgColor rgb="FFFF2F2F"/>
        </patternFill>
      </fill>
    </dxf>
    <dxf>
      <fill>
        <patternFill>
          <bgColor rgb="FFB5EDB5"/>
        </patternFill>
      </fill>
    </dxf>
    <dxf>
      <fill>
        <patternFill>
          <bgColor rgb="FF8AE28A"/>
        </patternFill>
      </fill>
    </dxf>
    <dxf>
      <fill>
        <patternFill>
          <bgColor rgb="FF69D969"/>
        </patternFill>
      </fill>
    </dxf>
    <dxf>
      <fill>
        <patternFill>
          <bgColor rgb="FF37CD37"/>
        </patternFill>
      </fill>
    </dxf>
    <dxf>
      <fill>
        <patternFill>
          <bgColor rgb="FF08F80E"/>
        </patternFill>
      </fill>
    </dxf>
    <dxf>
      <fill>
        <patternFill>
          <bgColor rgb="FFFFFF1D"/>
        </patternFill>
      </fill>
    </dxf>
    <dxf>
      <fill>
        <patternFill>
          <bgColor rgb="FFEA9C00"/>
        </patternFill>
      </fill>
    </dxf>
    <dxf>
      <fill>
        <patternFill>
          <bgColor rgb="FFFF2525"/>
        </patternFill>
      </fill>
    </dxf>
    <dxf>
      <fill>
        <patternFill>
          <bgColor rgb="FFA1E7A1"/>
        </patternFill>
      </fill>
    </dxf>
    <dxf>
      <fill>
        <patternFill>
          <bgColor rgb="FF79DD79"/>
        </patternFill>
      </fill>
    </dxf>
    <dxf>
      <fill>
        <patternFill>
          <bgColor rgb="FF59D559"/>
        </patternFill>
      </fill>
    </dxf>
    <dxf>
      <fill>
        <patternFill>
          <bgColor rgb="FF2FBB2F"/>
        </patternFill>
      </fill>
    </dxf>
    <dxf>
      <fill>
        <patternFill>
          <bgColor rgb="FF37CD37"/>
        </patternFill>
      </fill>
    </dxf>
    <dxf>
      <fill>
        <patternFill>
          <bgColor rgb="FF2FFF2F"/>
        </patternFill>
      </fill>
    </dxf>
    <dxf>
      <fill>
        <patternFill>
          <bgColor rgb="FFFFFF37"/>
        </patternFill>
      </fill>
    </dxf>
    <dxf>
      <fill>
        <patternFill>
          <bgColor rgb="FFFEC200"/>
        </patternFill>
      </fill>
    </dxf>
    <dxf>
      <fill>
        <patternFill>
          <bgColor rgb="FFFF2F2F"/>
        </patternFill>
      </fill>
    </dxf>
    <dxf>
      <fill>
        <patternFill>
          <bgColor rgb="FFB5EDB5"/>
        </patternFill>
      </fill>
    </dxf>
    <dxf>
      <fill>
        <patternFill>
          <bgColor rgb="FF8AE28A"/>
        </patternFill>
      </fill>
    </dxf>
    <dxf>
      <fill>
        <patternFill>
          <bgColor rgb="FF69D969"/>
        </patternFill>
      </fill>
    </dxf>
    <dxf>
      <fill>
        <patternFill>
          <bgColor rgb="FF37CD37"/>
        </patternFill>
      </fill>
    </dxf>
    <dxf>
      <fill>
        <patternFill>
          <bgColor rgb="FF2FFF2F"/>
        </patternFill>
      </fill>
    </dxf>
    <dxf>
      <fill>
        <patternFill>
          <bgColor rgb="FFFFFF37"/>
        </patternFill>
      </fill>
    </dxf>
    <dxf>
      <fill>
        <patternFill>
          <bgColor rgb="FFFEC200"/>
        </patternFill>
      </fill>
    </dxf>
    <dxf>
      <fill>
        <patternFill>
          <bgColor rgb="FFFF2F2F"/>
        </patternFill>
      </fill>
    </dxf>
    <dxf>
      <fill>
        <patternFill>
          <bgColor rgb="FFB5EDB5"/>
        </patternFill>
      </fill>
    </dxf>
    <dxf>
      <fill>
        <patternFill>
          <bgColor rgb="FF8AE28A"/>
        </patternFill>
      </fill>
    </dxf>
    <dxf>
      <fill>
        <patternFill>
          <bgColor rgb="FF69D969"/>
        </patternFill>
      </fill>
    </dxf>
    <dxf>
      <fill>
        <patternFill>
          <bgColor rgb="FF2FFF2F"/>
        </patternFill>
      </fill>
    </dxf>
    <dxf>
      <fill>
        <patternFill>
          <bgColor rgb="FFFFFF37"/>
        </patternFill>
      </fill>
    </dxf>
    <dxf>
      <fill>
        <patternFill>
          <bgColor rgb="FFFEC200"/>
        </patternFill>
      </fill>
    </dxf>
    <dxf>
      <fill>
        <patternFill>
          <bgColor rgb="FFFF2F2F"/>
        </patternFill>
      </fill>
    </dxf>
    <dxf>
      <fill>
        <patternFill>
          <bgColor rgb="FFB5EDB5"/>
        </patternFill>
      </fill>
    </dxf>
    <dxf>
      <fill>
        <patternFill>
          <bgColor rgb="FF8AE28A"/>
        </patternFill>
      </fill>
    </dxf>
    <dxf>
      <fill>
        <patternFill>
          <bgColor rgb="FF69D969"/>
        </patternFill>
      </fill>
    </dxf>
    <dxf>
      <fill>
        <patternFill>
          <bgColor rgb="FF37CD37"/>
        </patternFill>
      </fill>
    </dxf>
    <dxf>
      <fill>
        <patternFill>
          <bgColor rgb="FF08F80E"/>
        </patternFill>
      </fill>
    </dxf>
    <dxf>
      <fill>
        <patternFill>
          <bgColor rgb="FFFFFF1D"/>
        </patternFill>
      </fill>
    </dxf>
    <dxf>
      <fill>
        <patternFill>
          <bgColor rgb="FFEA9C00"/>
        </patternFill>
      </fill>
    </dxf>
    <dxf>
      <fill>
        <patternFill>
          <bgColor rgb="FFFF2525"/>
        </patternFill>
      </fill>
    </dxf>
    <dxf>
      <fill>
        <patternFill>
          <bgColor rgb="FFA1E7A1"/>
        </patternFill>
      </fill>
    </dxf>
    <dxf>
      <fill>
        <patternFill>
          <bgColor rgb="FF79DD79"/>
        </patternFill>
      </fill>
    </dxf>
    <dxf>
      <fill>
        <patternFill>
          <bgColor rgb="FF2FBB2F"/>
        </patternFill>
      </fill>
    </dxf>
    <dxf>
      <fill>
        <patternFill>
          <bgColor rgb="FF59D559"/>
        </patternFill>
      </fill>
    </dxf>
    <dxf>
      <fill>
        <patternFill>
          <bgColor rgb="FFEA9C00"/>
        </patternFill>
      </fill>
    </dxf>
    <dxf>
      <fill>
        <patternFill>
          <bgColor rgb="FFFFFF1D"/>
        </patternFill>
      </fill>
    </dxf>
    <dxf>
      <fill>
        <patternFill>
          <bgColor rgb="FF08F80E"/>
        </patternFill>
      </fill>
    </dxf>
    <dxf>
      <fill>
        <patternFill>
          <bgColor rgb="FFA1E7A1"/>
        </patternFill>
      </fill>
    </dxf>
    <dxf>
      <fill>
        <patternFill>
          <bgColor rgb="FFFF2525"/>
        </patternFill>
      </fill>
    </dxf>
    <dxf>
      <fill>
        <patternFill>
          <bgColor rgb="FF79DD79"/>
        </patternFill>
      </fill>
    </dxf>
    <dxf>
      <fill>
        <patternFill>
          <bgColor rgb="FF2FBB2F"/>
        </patternFill>
      </fill>
    </dxf>
    <dxf>
      <fill>
        <patternFill>
          <bgColor rgb="FF08F80E"/>
        </patternFill>
      </fill>
    </dxf>
    <dxf>
      <fill>
        <patternFill>
          <bgColor rgb="FFFFFF1D"/>
        </patternFill>
      </fill>
    </dxf>
    <dxf>
      <fill>
        <patternFill>
          <bgColor rgb="FFEA9C00"/>
        </patternFill>
      </fill>
    </dxf>
    <dxf>
      <fill>
        <patternFill>
          <bgColor rgb="FFFF2525"/>
        </patternFill>
      </fill>
    </dxf>
    <dxf>
      <fill>
        <patternFill>
          <bgColor rgb="FFA1E7A1"/>
        </patternFill>
      </fill>
    </dxf>
    <dxf>
      <fill>
        <patternFill>
          <bgColor rgb="FF79DD79"/>
        </patternFill>
      </fill>
    </dxf>
    <dxf>
      <fill>
        <patternFill>
          <bgColor rgb="FF59D55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21248</xdr:colOff>
      <xdr:row>79</xdr:row>
      <xdr:rowOff>109171</xdr:rowOff>
    </xdr:from>
    <xdr:to>
      <xdr:col>7</xdr:col>
      <xdr:colOff>300648</xdr:colOff>
      <xdr:row>79</xdr:row>
      <xdr:rowOff>365711</xdr:rowOff>
    </xdr:to>
    <xdr:pic>
      <xdr:nvPicPr>
        <xdr:cNvPr id="2" name="Imagen 1" descr="Icono&#10;&#10;Descripción generada automáticamente">
          <a:extLst>
            <a:ext uri="{FF2B5EF4-FFF2-40B4-BE49-F238E27FC236}">
              <a16:creationId xmlns:a16="http://schemas.microsoft.com/office/drawing/2014/main" id="{B91F348A-9CD3-4B54-8A3D-911D26958A1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385" t="17789" r="16106" b="16346"/>
        <a:stretch/>
      </xdr:blipFill>
      <xdr:spPr bwMode="auto">
        <a:xfrm>
          <a:off x="2916848" y="40809496"/>
          <a:ext cx="279400" cy="25654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502226</xdr:colOff>
      <xdr:row>0</xdr:row>
      <xdr:rowOff>68036</xdr:rowOff>
    </xdr:from>
    <xdr:to>
      <xdr:col>2</xdr:col>
      <xdr:colOff>830036</xdr:colOff>
      <xdr:row>4</xdr:row>
      <xdr:rowOff>122464</xdr:rowOff>
    </xdr:to>
    <xdr:pic>
      <xdr:nvPicPr>
        <xdr:cNvPr id="2" name="Imagen 1" descr="image007">
          <a:extLst>
            <a:ext uri="{FF2B5EF4-FFF2-40B4-BE49-F238E27FC236}">
              <a16:creationId xmlns:a16="http://schemas.microsoft.com/office/drawing/2014/main" id="{71212397-56FB-4B06-A374-CD4513B409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226" y="68036"/>
          <a:ext cx="1851810" cy="81642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526677</xdr:colOff>
      <xdr:row>0</xdr:row>
      <xdr:rowOff>123265</xdr:rowOff>
    </xdr:from>
    <xdr:to>
      <xdr:col>2</xdr:col>
      <xdr:colOff>1172696</xdr:colOff>
      <xdr:row>4</xdr:row>
      <xdr:rowOff>8965</xdr:rowOff>
    </xdr:to>
    <xdr:pic>
      <xdr:nvPicPr>
        <xdr:cNvPr id="2" name="Imagen 1" descr="image007">
          <a:extLst>
            <a:ext uri="{FF2B5EF4-FFF2-40B4-BE49-F238E27FC236}">
              <a16:creationId xmlns:a16="http://schemas.microsoft.com/office/drawing/2014/main" id="{E5E66B93-4F47-4ED1-BDAC-0169C941E88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9602" y="123265"/>
          <a:ext cx="1608044" cy="6477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190501</xdr:colOff>
      <xdr:row>0</xdr:row>
      <xdr:rowOff>145677</xdr:rowOff>
    </xdr:from>
    <xdr:to>
      <xdr:col>2</xdr:col>
      <xdr:colOff>836520</xdr:colOff>
      <xdr:row>4</xdr:row>
      <xdr:rowOff>31377</xdr:rowOff>
    </xdr:to>
    <xdr:pic>
      <xdr:nvPicPr>
        <xdr:cNvPr id="2" name="Imagen 1" descr="image007">
          <a:extLst>
            <a:ext uri="{FF2B5EF4-FFF2-40B4-BE49-F238E27FC236}">
              <a16:creationId xmlns:a16="http://schemas.microsoft.com/office/drawing/2014/main" id="{EBDEA422-1851-41D5-A65D-0C0C65AA6B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6" y="145677"/>
          <a:ext cx="1608044" cy="6477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I_te_RESPALDA\Desempe&#241;o\2022\RIESGOS%20CONTRACTUALES\VF\20220526%20Formato%20Matriz%20de%20Riesgos%20en%20Contrat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gisaesp-my.sharepoint.com/TI_te_RESPALDA/Desempe&#241;o/2022/RIESGOS%20CONTRACTUALES/VF/20220526%20Formato%20Matriz%20de%20Riesgos%20en%20Contrat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Matriz de Criterios"/>
      <sheetName val="Listas-Input"/>
      <sheetName val="Parámetros"/>
      <sheetName val="Matriz de riesgos"/>
      <sheetName val="Matriz seguimiento (1)"/>
      <sheetName val="Matriz seguimiento (2)"/>
      <sheetName val="Matriz seguimiento (3)"/>
    </sheetNames>
    <sheetDataSet>
      <sheetData sheetId="0" refreshError="1"/>
      <sheetData sheetId="1" refreshError="1"/>
      <sheetData sheetId="2" refreshError="1"/>
      <sheetData sheetId="3" refreshError="1"/>
      <sheetData sheetId="4" refreshError="1">
        <row r="20">
          <cell r="B20">
            <v>25</v>
          </cell>
          <cell r="C20" t="str">
            <v>EXTREMO (+)</v>
          </cell>
        </row>
        <row r="21">
          <cell r="B21">
            <v>24</v>
          </cell>
          <cell r="C21" t="str">
            <v>EXTREMO (+)</v>
          </cell>
          <cell r="G21" t="str">
            <v>MUY ALTO
El contrato logrará el objetivo en la mayoría de los casos.MUY BAJO 
Causa un efecto insignificante en el logro de los objetivos estratégicos</v>
          </cell>
          <cell r="H21" t="str">
            <v>MODERADO (+)</v>
          </cell>
        </row>
        <row r="22">
          <cell r="B22">
            <v>23</v>
          </cell>
          <cell r="C22" t="str">
            <v>EXTREMO (+)</v>
          </cell>
          <cell r="G22" t="str">
            <v>MUY ALTO
El contrato logrará el objetivo en la mayoría de los casos.BAJO 
Causa un efecto apreciable en el logro de los objetivos estratégicos</v>
          </cell>
          <cell r="H22" t="str">
            <v>MODERADO (+)</v>
          </cell>
        </row>
        <row r="23">
          <cell r="B23">
            <v>22</v>
          </cell>
          <cell r="C23" t="str">
            <v>EXTREMO (+)</v>
          </cell>
          <cell r="G23" t="str">
            <v>MUY ALTO
El contrato logrará el objetivo en la mayoría de los casos.MEDIO 
Causa un efecto significativo en el logro de los objetivos estratégicos</v>
          </cell>
          <cell r="H23" t="str">
            <v>ALTO (+)</v>
          </cell>
        </row>
        <row r="24">
          <cell r="B24">
            <v>21</v>
          </cell>
          <cell r="C24" t="str">
            <v>EXTREMO (+)</v>
          </cell>
          <cell r="G24" t="str">
            <v>MUY ALTO
El contrato logrará el objetivo en la mayoría de los casos.ALTO 
Causa un efecto importante en el logro de los objetivos estratégicos</v>
          </cell>
          <cell r="H24" t="str">
            <v>EXTREMO (+)</v>
          </cell>
        </row>
        <row r="25">
          <cell r="B25">
            <v>20</v>
          </cell>
          <cell r="C25" t="str">
            <v>EXTREMO (+)</v>
          </cell>
          <cell r="G25" t="str">
            <v>MUY ALTO
El contrato logrará el objetivo en la mayoría de los casos.MUY ALTO 
Causa un efecto trascendental en el  logro de los objetivos estratégicos</v>
          </cell>
          <cell r="H25" t="str">
            <v>EXTREMO (+)</v>
          </cell>
        </row>
        <row r="26">
          <cell r="B26">
            <v>19</v>
          </cell>
          <cell r="C26" t="str">
            <v>EXTREMO (+)</v>
          </cell>
          <cell r="G26" t="str">
            <v>ALTO
Se logrará el objetivo en 6 de cada 10 contratos aproximadamente.MUY BAJO 
Causa un efecto insignificante en el logro de los objetivos estratégicos</v>
          </cell>
          <cell r="H26" t="str">
            <v>MODERADO (+)</v>
          </cell>
        </row>
        <row r="27">
          <cell r="B27">
            <v>18</v>
          </cell>
          <cell r="C27" t="str">
            <v>EXTREMO (+)</v>
          </cell>
          <cell r="G27" t="str">
            <v>ALTO
Se logrará el objetivo en 6 de cada 10 contratos aproximadamente.BAJO 
Causa un efecto apreciable en el logro de los objetivos estratégicos</v>
          </cell>
          <cell r="H27" t="str">
            <v>MODERADO (+)</v>
          </cell>
        </row>
        <row r="28">
          <cell r="B28">
            <v>17</v>
          </cell>
          <cell r="C28" t="str">
            <v>EXTREMO (+)</v>
          </cell>
          <cell r="G28" t="str">
            <v>ALTO
Se logrará el objetivo en 6 de cada 10 contratos aproximadamente.MEDIO 
Causa un efecto significativo en el logro de los objetivos estratégicos</v>
          </cell>
          <cell r="H28" t="str">
            <v>ALTO (+)</v>
          </cell>
        </row>
        <row r="29">
          <cell r="B29">
            <v>16</v>
          </cell>
          <cell r="C29" t="str">
            <v>ALTO (+)</v>
          </cell>
          <cell r="G29" t="str">
            <v>ALTO
Se logrará el objetivo en 6 de cada 10 contratos aproximadamente.ALTO 
Causa un efecto importante en el logro de los objetivos estratégicos</v>
          </cell>
          <cell r="H29" t="str">
            <v>ALTO (+)</v>
          </cell>
        </row>
        <row r="30">
          <cell r="B30">
            <v>15</v>
          </cell>
          <cell r="C30" t="str">
            <v>ALTO (+)</v>
          </cell>
          <cell r="G30" t="str">
            <v>ALTO
Se logrará el objetivo en 6 de cada 10 contratos aproximadamente.MUY ALTO 
Causa un efecto trascendental en el  logro de los objetivos estratégicos</v>
          </cell>
          <cell r="H30" t="str">
            <v>EXTREMO (+)</v>
          </cell>
        </row>
        <row r="31">
          <cell r="B31">
            <v>14</v>
          </cell>
          <cell r="C31" t="str">
            <v>ALTO (+)</v>
          </cell>
          <cell r="G31" t="str">
            <v>MEDIO
Se logrará el objetivo en 4 de cada 10 contratos aproximadamente.MUY BAJO 
Causa un efecto insignificante en el logro de los objetivos estratégicos</v>
          </cell>
          <cell r="H31" t="str">
            <v>BAJO (+)</v>
          </cell>
        </row>
        <row r="32">
          <cell r="B32">
            <v>13</v>
          </cell>
          <cell r="C32" t="str">
            <v>ALTO (+)</v>
          </cell>
          <cell r="G32" t="str">
            <v>MEDIO
Se logrará el objetivo en 4 de cada 10 contratos aproximadamente.BAJO 
Causa un efecto apreciable en el logro de los objetivos estratégicos</v>
          </cell>
          <cell r="H32" t="str">
            <v>MODERADO (+)</v>
          </cell>
        </row>
        <row r="33">
          <cell r="B33">
            <v>12</v>
          </cell>
          <cell r="C33" t="str">
            <v>ALTO (+)</v>
          </cell>
          <cell r="G33" t="str">
            <v>MEDIO
Se logrará el objetivo en 4 de cada 10 contratos aproximadamente.MEDIO 
Causa un efecto significativo en el logro de los objetivos estratégicos</v>
          </cell>
          <cell r="H33" t="str">
            <v>MODERADO (+)</v>
          </cell>
        </row>
        <row r="34">
          <cell r="B34">
            <v>11</v>
          </cell>
          <cell r="C34" t="str">
            <v>ALTO (+)</v>
          </cell>
          <cell r="G34" t="str">
            <v>MEDIO
Se logrará el objetivo en 4 de cada 10 contratos aproximadamente.ALTO 
Causa un efecto importante en el logro de los objetivos estratégicos</v>
          </cell>
          <cell r="H34" t="str">
            <v>ALTO (+)</v>
          </cell>
        </row>
        <row r="35">
          <cell r="B35">
            <v>10</v>
          </cell>
          <cell r="C35" t="str">
            <v>MODERADO (+)</v>
          </cell>
          <cell r="G35" t="str">
            <v>MEDIO
Se logrará el objetivo en 4 de cada 10 contratos aproximadamente.MUY ALTO 
Causa un efecto trascendental en el  logro de los objetivos estratégicos</v>
          </cell>
          <cell r="H35" t="str">
            <v>ALTO (+)</v>
          </cell>
        </row>
        <row r="36">
          <cell r="B36">
            <v>9</v>
          </cell>
          <cell r="C36" t="str">
            <v>MODERADO (+)</v>
          </cell>
          <cell r="G36" t="str">
            <v>BAJO
Se logrará el objetivo en 2 de cada 10 contratos aproximadamente.MUY BAJO 
Causa un efecto insignificante en el logro de los objetivos estratégicos</v>
          </cell>
          <cell r="H36" t="str">
            <v>BAJO (+)</v>
          </cell>
        </row>
        <row r="37">
          <cell r="B37">
            <v>8</v>
          </cell>
          <cell r="C37" t="str">
            <v>MODERADO (+)</v>
          </cell>
          <cell r="G37" t="str">
            <v>BAJO
Se logrará el objetivo en 2 de cada 10 contratos aproximadamente.BAJO 
Causa un efecto apreciable en el logro de los objetivos estratégicos</v>
          </cell>
          <cell r="H37" t="str">
            <v>BAJO (+)</v>
          </cell>
        </row>
        <row r="38">
          <cell r="B38">
            <v>7</v>
          </cell>
          <cell r="C38" t="str">
            <v>MODERADO (+)</v>
          </cell>
          <cell r="G38" t="str">
            <v>BAJO
Se logrará el objetivo en 2 de cada 10 contratos aproximadamente.MEDIO 
Causa un efecto significativo en el logro de los objetivos estratégicos</v>
          </cell>
          <cell r="H38" t="str">
            <v>MODERADO (+)</v>
          </cell>
        </row>
        <row r="39">
          <cell r="B39">
            <v>6</v>
          </cell>
          <cell r="C39" t="str">
            <v>MODERADO (+)</v>
          </cell>
          <cell r="G39" t="str">
            <v>BAJO
Se logrará el objetivo en 2 de cada 10 contratos aproximadamente.ALTO 
Causa un efecto importante en el logro de los objetivos estratégicos</v>
          </cell>
          <cell r="H39" t="str">
            <v>MODERADO (+)</v>
          </cell>
        </row>
        <row r="40">
          <cell r="B40">
            <v>5</v>
          </cell>
          <cell r="C40" t="str">
            <v>MODERADO (+)</v>
          </cell>
          <cell r="G40" t="str">
            <v>BAJO
Se logrará el objetivo en 2 de cada 10 contratos aproximadamente.MUY ALTO 
Causa un efecto trascendental en el  logro de los objetivos estratégicos</v>
          </cell>
          <cell r="H40" t="str">
            <v>MODERADO (+)</v>
          </cell>
        </row>
        <row r="41">
          <cell r="B41">
            <v>4</v>
          </cell>
          <cell r="C41" t="str">
            <v>BAJO (+)</v>
          </cell>
          <cell r="G41" t="str">
            <v>MUY BAJO
No se logrará el objetivo en la mayoría de los contratosMUY BAJO 
Causa un efecto insignificante en el logro de los objetivos estratégicos</v>
          </cell>
          <cell r="H41" t="str">
            <v>BAJO (+)</v>
          </cell>
        </row>
        <row r="42">
          <cell r="B42">
            <v>3</v>
          </cell>
          <cell r="C42" t="str">
            <v>BAJO (+)</v>
          </cell>
          <cell r="G42" t="str">
            <v>MUY BAJO
No se logrará el objetivo en la mayoría de los contratosBAJO 
Causa un efecto apreciable en el logro de los objetivos estratégicos</v>
          </cell>
          <cell r="H42" t="str">
            <v>BAJO (+)</v>
          </cell>
        </row>
        <row r="43">
          <cell r="B43">
            <v>2</v>
          </cell>
          <cell r="C43" t="str">
            <v>BAJO (+)</v>
          </cell>
          <cell r="G43" t="str">
            <v>MUY BAJO
No se logrará el objetivo en la mayoría de los contratosMEDIO 
Causa un efecto significativo en el logro de los objetivos estratégicos</v>
          </cell>
          <cell r="H43" t="str">
            <v>BAJO (+)</v>
          </cell>
        </row>
        <row r="44">
          <cell r="B44">
            <v>1</v>
          </cell>
          <cell r="C44" t="str">
            <v>BAJO (+)</v>
          </cell>
          <cell r="G44" t="str">
            <v>MUY BAJO
No se logrará el objetivo en la mayoría de los contratosALTO 
Causa un efecto importante en el logro de los objetivos estratégicos</v>
          </cell>
          <cell r="H44" t="str">
            <v>BAJO (+)</v>
          </cell>
        </row>
        <row r="45">
          <cell r="B45">
            <v>0</v>
          </cell>
          <cell r="C45" t="str">
            <v>NO APLCIA</v>
          </cell>
          <cell r="G45" t="str">
            <v>MUY BAJO
No se logrará el objetivo en la mayoría de los contratosMUY ALTO 
Causa un efecto trascendental en el  logro de los objetivos estratégicos</v>
          </cell>
          <cell r="H45" t="str">
            <v>MODERADO (+)</v>
          </cell>
        </row>
        <row r="46">
          <cell r="B46">
            <v>-1</v>
          </cell>
          <cell r="C46" t="str">
            <v xml:space="preserve">BAJO </v>
          </cell>
          <cell r="H46" t="str">
            <v>NO APLCIA</v>
          </cell>
        </row>
        <row r="47">
          <cell r="B47">
            <v>-2</v>
          </cell>
          <cell r="C47" t="str">
            <v xml:space="preserve">BAJO </v>
          </cell>
        </row>
        <row r="48">
          <cell r="B48">
            <v>-3</v>
          </cell>
          <cell r="C48" t="str">
            <v xml:space="preserve">BAJO </v>
          </cell>
        </row>
        <row r="49">
          <cell r="B49">
            <v>-4</v>
          </cell>
          <cell r="C49" t="str">
            <v xml:space="preserve">BAJO </v>
          </cell>
        </row>
        <row r="50">
          <cell r="B50">
            <v>-5</v>
          </cell>
          <cell r="C50" t="str">
            <v xml:space="preserve">BAJO </v>
          </cell>
        </row>
        <row r="51">
          <cell r="B51">
            <v>-6</v>
          </cell>
          <cell r="C51" t="str">
            <v xml:space="preserve">MODERADO </v>
          </cell>
        </row>
        <row r="52">
          <cell r="B52">
            <v>-7</v>
          </cell>
          <cell r="C52" t="str">
            <v xml:space="preserve">MODERADO </v>
          </cell>
        </row>
        <row r="53">
          <cell r="B53">
            <v>-8</v>
          </cell>
          <cell r="C53" t="str">
            <v xml:space="preserve">MODERADO </v>
          </cell>
        </row>
        <row r="54">
          <cell r="B54">
            <v>-9</v>
          </cell>
          <cell r="C54" t="str">
            <v xml:space="preserve">MODERADO </v>
          </cell>
        </row>
        <row r="55">
          <cell r="B55">
            <v>-10</v>
          </cell>
          <cell r="C55" t="str">
            <v xml:space="preserve">MODERADO </v>
          </cell>
        </row>
        <row r="56">
          <cell r="B56">
            <v>-11</v>
          </cell>
          <cell r="C56" t="str">
            <v>ALTO</v>
          </cell>
        </row>
        <row r="57">
          <cell r="B57">
            <v>-12</v>
          </cell>
          <cell r="C57" t="str">
            <v>ALTO</v>
          </cell>
        </row>
        <row r="58">
          <cell r="B58">
            <v>-13</v>
          </cell>
          <cell r="C58" t="str">
            <v>ALTO</v>
          </cell>
        </row>
        <row r="59">
          <cell r="B59">
            <v>-14</v>
          </cell>
          <cell r="C59" t="str">
            <v>ALTO</v>
          </cell>
        </row>
        <row r="60">
          <cell r="B60">
            <v>-15</v>
          </cell>
          <cell r="C60" t="str">
            <v>ALTO</v>
          </cell>
        </row>
        <row r="61">
          <cell r="B61">
            <v>-16</v>
          </cell>
          <cell r="C61" t="str">
            <v>ALTO</v>
          </cell>
        </row>
        <row r="62">
          <cell r="B62">
            <v>-17</v>
          </cell>
          <cell r="C62" t="str">
            <v>EXTREMO</v>
          </cell>
        </row>
        <row r="63">
          <cell r="B63">
            <v>-18</v>
          </cell>
          <cell r="C63" t="str">
            <v>EXTREMO</v>
          </cell>
        </row>
        <row r="64">
          <cell r="B64">
            <v>-19</v>
          </cell>
          <cell r="C64" t="str">
            <v>EXTREMO</v>
          </cell>
        </row>
        <row r="65">
          <cell r="B65">
            <v>-20</v>
          </cell>
          <cell r="C65" t="str">
            <v>EXTREMO</v>
          </cell>
        </row>
        <row r="66">
          <cell r="B66">
            <v>-21</v>
          </cell>
          <cell r="C66" t="str">
            <v>EXTREMO</v>
          </cell>
        </row>
        <row r="67">
          <cell r="B67">
            <v>-22</v>
          </cell>
          <cell r="C67" t="str">
            <v>EXTREMO</v>
          </cell>
        </row>
        <row r="68">
          <cell r="B68">
            <v>-23</v>
          </cell>
          <cell r="C68" t="str">
            <v>EXTREMO</v>
          </cell>
        </row>
        <row r="69">
          <cell r="B69">
            <v>-24</v>
          </cell>
          <cell r="C69" t="str">
            <v>EXTREMO</v>
          </cell>
        </row>
        <row r="70">
          <cell r="B70">
            <v>-25</v>
          </cell>
          <cell r="C70" t="str">
            <v>EXTREMO</v>
          </cell>
        </row>
      </sheetData>
      <sheetData sheetId="5" refreshError="1">
        <row r="11">
          <cell r="A11">
            <v>1</v>
          </cell>
        </row>
        <row r="12">
          <cell r="A12">
            <v>2</v>
          </cell>
        </row>
        <row r="13">
          <cell r="A13">
            <v>3</v>
          </cell>
        </row>
        <row r="14">
          <cell r="A14">
            <v>4</v>
          </cell>
        </row>
        <row r="15">
          <cell r="A15">
            <v>5</v>
          </cell>
        </row>
        <row r="16">
          <cell r="A16">
            <v>6</v>
          </cell>
        </row>
        <row r="17">
          <cell r="A17">
            <v>7</v>
          </cell>
        </row>
        <row r="18">
          <cell r="A18">
            <v>8</v>
          </cell>
        </row>
        <row r="19">
          <cell r="A19">
            <v>9</v>
          </cell>
        </row>
        <row r="20">
          <cell r="A20">
            <v>10</v>
          </cell>
        </row>
        <row r="21">
          <cell r="A21">
            <v>11</v>
          </cell>
        </row>
        <row r="22">
          <cell r="A22">
            <v>12</v>
          </cell>
        </row>
        <row r="23">
          <cell r="A23">
            <v>13</v>
          </cell>
        </row>
        <row r="24">
          <cell r="A24">
            <v>14</v>
          </cell>
        </row>
        <row r="25">
          <cell r="A25">
            <v>15</v>
          </cell>
        </row>
        <row r="26">
          <cell r="A26">
            <v>16</v>
          </cell>
        </row>
        <row r="27">
          <cell r="A27">
            <v>17</v>
          </cell>
        </row>
        <row r="28">
          <cell r="A28">
            <v>18</v>
          </cell>
        </row>
        <row r="29">
          <cell r="A29">
            <v>19</v>
          </cell>
        </row>
        <row r="30">
          <cell r="A30">
            <v>20</v>
          </cell>
        </row>
        <row r="31">
          <cell r="A31">
            <v>21</v>
          </cell>
        </row>
        <row r="32">
          <cell r="A32">
            <v>22</v>
          </cell>
        </row>
        <row r="33">
          <cell r="A33">
            <v>23</v>
          </cell>
        </row>
        <row r="34">
          <cell r="A34">
            <v>24</v>
          </cell>
        </row>
        <row r="35">
          <cell r="A35">
            <v>25</v>
          </cell>
        </row>
        <row r="36">
          <cell r="A36">
            <v>26</v>
          </cell>
        </row>
        <row r="37">
          <cell r="A37">
            <v>27</v>
          </cell>
        </row>
        <row r="38">
          <cell r="A38">
            <v>28</v>
          </cell>
        </row>
        <row r="39">
          <cell r="A39">
            <v>29</v>
          </cell>
        </row>
        <row r="40">
          <cell r="A40">
            <v>30</v>
          </cell>
        </row>
        <row r="41">
          <cell r="A41">
            <v>31</v>
          </cell>
        </row>
        <row r="42">
          <cell r="A42">
            <v>32</v>
          </cell>
        </row>
        <row r="43">
          <cell r="A43">
            <v>33</v>
          </cell>
        </row>
        <row r="44">
          <cell r="A44">
            <v>34</v>
          </cell>
        </row>
        <row r="45">
          <cell r="A45">
            <v>35</v>
          </cell>
        </row>
        <row r="46">
          <cell r="A46">
            <v>36</v>
          </cell>
        </row>
        <row r="47">
          <cell r="A47">
            <v>37</v>
          </cell>
        </row>
        <row r="48">
          <cell r="A48">
            <v>38</v>
          </cell>
        </row>
        <row r="49">
          <cell r="A49">
            <v>39</v>
          </cell>
        </row>
        <row r="50">
          <cell r="A50">
            <v>40</v>
          </cell>
        </row>
        <row r="51">
          <cell r="A51">
            <v>41</v>
          </cell>
        </row>
        <row r="52">
          <cell r="A52">
            <v>42</v>
          </cell>
        </row>
        <row r="53">
          <cell r="A53">
            <v>43</v>
          </cell>
        </row>
        <row r="54">
          <cell r="A54">
            <v>44</v>
          </cell>
        </row>
        <row r="55">
          <cell r="A55">
            <v>45</v>
          </cell>
        </row>
        <row r="56">
          <cell r="A56">
            <v>46</v>
          </cell>
        </row>
        <row r="57">
          <cell r="A57">
            <v>47</v>
          </cell>
        </row>
        <row r="58">
          <cell r="A58">
            <v>48</v>
          </cell>
        </row>
        <row r="59">
          <cell r="A59">
            <v>49</v>
          </cell>
        </row>
        <row r="60">
          <cell r="A60">
            <v>50</v>
          </cell>
        </row>
      </sheetData>
      <sheetData sheetId="6" refreshError="1">
        <row r="7">
          <cell r="J7">
            <v>0</v>
          </cell>
        </row>
        <row r="11">
          <cell r="B11">
            <v>0</v>
          </cell>
          <cell r="C11">
            <v>0</v>
          </cell>
          <cell r="D11">
            <v>0</v>
          </cell>
          <cell r="E11">
            <v>0</v>
          </cell>
          <cell r="F11">
            <v>0</v>
          </cell>
          <cell r="O11">
            <v>0</v>
          </cell>
          <cell r="P11">
            <v>0</v>
          </cell>
          <cell r="Q11">
            <v>0</v>
          </cell>
          <cell r="R11">
            <v>0</v>
          </cell>
          <cell r="S11">
            <v>0</v>
          </cell>
        </row>
        <row r="12">
          <cell r="B12">
            <v>0</v>
          </cell>
          <cell r="C12">
            <v>0</v>
          </cell>
          <cell r="D12">
            <v>0</v>
          </cell>
          <cell r="E12">
            <v>0</v>
          </cell>
          <cell r="F12">
            <v>0</v>
          </cell>
          <cell r="O12">
            <v>0</v>
          </cell>
          <cell r="P12">
            <v>0</v>
          </cell>
          <cell r="Q12">
            <v>0</v>
          </cell>
          <cell r="R12">
            <v>0</v>
          </cell>
          <cell r="S12">
            <v>0</v>
          </cell>
        </row>
        <row r="13">
          <cell r="B13">
            <v>0</v>
          </cell>
          <cell r="C13">
            <v>0</v>
          </cell>
          <cell r="D13">
            <v>0</v>
          </cell>
          <cell r="E13">
            <v>0</v>
          </cell>
          <cell r="F13">
            <v>0</v>
          </cell>
          <cell r="O13">
            <v>0</v>
          </cell>
          <cell r="P13">
            <v>0</v>
          </cell>
          <cell r="Q13">
            <v>0</v>
          </cell>
          <cell r="R13">
            <v>0</v>
          </cell>
          <cell r="S13">
            <v>0</v>
          </cell>
        </row>
        <row r="14">
          <cell r="B14">
            <v>0</v>
          </cell>
          <cell r="C14">
            <v>0</v>
          </cell>
          <cell r="D14">
            <v>0</v>
          </cell>
          <cell r="E14">
            <v>0</v>
          </cell>
          <cell r="F14">
            <v>0</v>
          </cell>
          <cell r="O14">
            <v>0</v>
          </cell>
          <cell r="P14">
            <v>0</v>
          </cell>
          <cell r="Q14">
            <v>0</v>
          </cell>
          <cell r="R14">
            <v>0</v>
          </cell>
          <cell r="S14">
            <v>0</v>
          </cell>
        </row>
        <row r="15">
          <cell r="B15">
            <v>0</v>
          </cell>
          <cell r="C15">
            <v>0</v>
          </cell>
          <cell r="D15">
            <v>0</v>
          </cell>
          <cell r="E15">
            <v>0</v>
          </cell>
          <cell r="F15">
            <v>0</v>
          </cell>
          <cell r="O15">
            <v>0</v>
          </cell>
          <cell r="P15">
            <v>0</v>
          </cell>
          <cell r="Q15">
            <v>0</v>
          </cell>
          <cell r="R15">
            <v>0</v>
          </cell>
          <cell r="S15">
            <v>0</v>
          </cell>
        </row>
        <row r="16">
          <cell r="B16">
            <v>0</v>
          </cell>
          <cell r="C16">
            <v>0</v>
          </cell>
          <cell r="D16">
            <v>0</v>
          </cell>
          <cell r="E16">
            <v>0</v>
          </cell>
          <cell r="F16">
            <v>0</v>
          </cell>
          <cell r="O16">
            <v>0</v>
          </cell>
          <cell r="P16">
            <v>0</v>
          </cell>
          <cell r="Q16">
            <v>0</v>
          </cell>
          <cell r="R16">
            <v>0</v>
          </cell>
          <cell r="S16">
            <v>0</v>
          </cell>
        </row>
        <row r="17">
          <cell r="B17">
            <v>0</v>
          </cell>
          <cell r="C17">
            <v>0</v>
          </cell>
          <cell r="D17">
            <v>0</v>
          </cell>
          <cell r="E17">
            <v>0</v>
          </cell>
          <cell r="F17">
            <v>0</v>
          </cell>
          <cell r="O17">
            <v>0</v>
          </cell>
          <cell r="P17">
            <v>0</v>
          </cell>
          <cell r="Q17">
            <v>0</v>
          </cell>
          <cell r="R17">
            <v>0</v>
          </cell>
          <cell r="S17">
            <v>0</v>
          </cell>
        </row>
        <row r="18">
          <cell r="B18">
            <v>0</v>
          </cell>
          <cell r="C18">
            <v>0</v>
          </cell>
          <cell r="D18">
            <v>0</v>
          </cell>
          <cell r="E18">
            <v>0</v>
          </cell>
          <cell r="F18">
            <v>0</v>
          </cell>
          <cell r="O18">
            <v>0</v>
          </cell>
          <cell r="P18">
            <v>0</v>
          </cell>
          <cell r="Q18">
            <v>0</v>
          </cell>
          <cell r="R18">
            <v>0</v>
          </cell>
          <cell r="S18">
            <v>0</v>
          </cell>
        </row>
        <row r="19">
          <cell r="B19">
            <v>0</v>
          </cell>
          <cell r="C19">
            <v>0</v>
          </cell>
          <cell r="D19">
            <v>0</v>
          </cell>
          <cell r="E19">
            <v>0</v>
          </cell>
          <cell r="F19">
            <v>0</v>
          </cell>
          <cell r="O19">
            <v>0</v>
          </cell>
          <cell r="P19">
            <v>0</v>
          </cell>
          <cell r="Q19">
            <v>0</v>
          </cell>
          <cell r="R19">
            <v>0</v>
          </cell>
          <cell r="S19">
            <v>0</v>
          </cell>
        </row>
        <row r="20">
          <cell r="B20">
            <v>0</v>
          </cell>
          <cell r="C20">
            <v>0</v>
          </cell>
          <cell r="D20">
            <v>0</v>
          </cell>
          <cell r="E20">
            <v>0</v>
          </cell>
          <cell r="F20">
            <v>0</v>
          </cell>
          <cell r="O20">
            <v>0</v>
          </cell>
          <cell r="P20">
            <v>0</v>
          </cell>
          <cell r="Q20">
            <v>0</v>
          </cell>
          <cell r="R20">
            <v>0</v>
          </cell>
          <cell r="S20">
            <v>0</v>
          </cell>
        </row>
        <row r="21">
          <cell r="B21">
            <v>0</v>
          </cell>
          <cell r="C21">
            <v>0</v>
          </cell>
          <cell r="D21">
            <v>0</v>
          </cell>
          <cell r="E21">
            <v>0</v>
          </cell>
          <cell r="F21">
            <v>0</v>
          </cell>
          <cell r="O21">
            <v>0</v>
          </cell>
          <cell r="P21">
            <v>0</v>
          </cell>
          <cell r="Q21">
            <v>0</v>
          </cell>
          <cell r="R21">
            <v>0</v>
          </cell>
          <cell r="S21">
            <v>0</v>
          </cell>
        </row>
        <row r="22">
          <cell r="B22">
            <v>0</v>
          </cell>
          <cell r="C22">
            <v>0</v>
          </cell>
          <cell r="D22">
            <v>0</v>
          </cell>
          <cell r="E22">
            <v>0</v>
          </cell>
          <cell r="F22">
            <v>0</v>
          </cell>
          <cell r="O22">
            <v>0</v>
          </cell>
          <cell r="P22">
            <v>0</v>
          </cell>
          <cell r="Q22">
            <v>0</v>
          </cell>
          <cell r="R22">
            <v>0</v>
          </cell>
          <cell r="S22">
            <v>0</v>
          </cell>
        </row>
        <row r="23">
          <cell r="B23">
            <v>0</v>
          </cell>
          <cell r="C23">
            <v>0</v>
          </cell>
          <cell r="D23">
            <v>0</v>
          </cell>
          <cell r="E23">
            <v>0</v>
          </cell>
          <cell r="F23">
            <v>0</v>
          </cell>
          <cell r="O23">
            <v>0</v>
          </cell>
          <cell r="P23">
            <v>0</v>
          </cell>
          <cell r="Q23">
            <v>0</v>
          </cell>
          <cell r="R23">
            <v>0</v>
          </cell>
          <cell r="S23">
            <v>0</v>
          </cell>
        </row>
        <row r="24">
          <cell r="B24">
            <v>0</v>
          </cell>
          <cell r="C24">
            <v>0</v>
          </cell>
          <cell r="D24">
            <v>0</v>
          </cell>
          <cell r="E24">
            <v>0</v>
          </cell>
          <cell r="F24">
            <v>0</v>
          </cell>
          <cell r="O24">
            <v>0</v>
          </cell>
          <cell r="P24">
            <v>0</v>
          </cell>
          <cell r="Q24">
            <v>0</v>
          </cell>
          <cell r="R24">
            <v>0</v>
          </cell>
          <cell r="S24">
            <v>0</v>
          </cell>
        </row>
        <row r="25">
          <cell r="B25">
            <v>0</v>
          </cell>
          <cell r="C25">
            <v>0</v>
          </cell>
          <cell r="D25">
            <v>0</v>
          </cell>
          <cell r="E25">
            <v>0</v>
          </cell>
          <cell r="F25">
            <v>0</v>
          </cell>
          <cell r="O25">
            <v>0</v>
          </cell>
          <cell r="P25">
            <v>0</v>
          </cell>
          <cell r="Q25">
            <v>0</v>
          </cell>
          <cell r="R25">
            <v>0</v>
          </cell>
          <cell r="S25">
            <v>0</v>
          </cell>
        </row>
        <row r="26">
          <cell r="B26">
            <v>0</v>
          </cell>
          <cell r="C26">
            <v>0</v>
          </cell>
          <cell r="D26">
            <v>0</v>
          </cell>
          <cell r="E26">
            <v>0</v>
          </cell>
          <cell r="F26">
            <v>0</v>
          </cell>
          <cell r="O26">
            <v>0</v>
          </cell>
          <cell r="P26">
            <v>0</v>
          </cell>
          <cell r="Q26">
            <v>0</v>
          </cell>
          <cell r="R26">
            <v>0</v>
          </cell>
          <cell r="S26">
            <v>0</v>
          </cell>
        </row>
        <row r="27">
          <cell r="B27">
            <v>0</v>
          </cell>
          <cell r="C27">
            <v>0</v>
          </cell>
          <cell r="D27">
            <v>0</v>
          </cell>
          <cell r="E27">
            <v>0</v>
          </cell>
          <cell r="F27">
            <v>0</v>
          </cell>
          <cell r="O27">
            <v>0</v>
          </cell>
          <cell r="P27">
            <v>0</v>
          </cell>
          <cell r="Q27">
            <v>0</v>
          </cell>
          <cell r="R27">
            <v>0</v>
          </cell>
          <cell r="S27">
            <v>0</v>
          </cell>
        </row>
        <row r="28">
          <cell r="B28">
            <v>0</v>
          </cell>
          <cell r="C28">
            <v>0</v>
          </cell>
          <cell r="D28">
            <v>0</v>
          </cell>
          <cell r="E28">
            <v>0</v>
          </cell>
          <cell r="F28">
            <v>0</v>
          </cell>
          <cell r="O28">
            <v>0</v>
          </cell>
          <cell r="P28">
            <v>0</v>
          </cell>
          <cell r="Q28">
            <v>0</v>
          </cell>
          <cell r="R28">
            <v>0</v>
          </cell>
          <cell r="S28">
            <v>0</v>
          </cell>
        </row>
        <row r="29">
          <cell r="B29">
            <v>0</v>
          </cell>
          <cell r="C29">
            <v>0</v>
          </cell>
          <cell r="D29">
            <v>0</v>
          </cell>
          <cell r="E29">
            <v>0</v>
          </cell>
          <cell r="F29">
            <v>0</v>
          </cell>
          <cell r="O29">
            <v>0</v>
          </cell>
          <cell r="P29">
            <v>0</v>
          </cell>
          <cell r="Q29">
            <v>0</v>
          </cell>
          <cell r="R29">
            <v>0</v>
          </cell>
          <cell r="S29">
            <v>0</v>
          </cell>
        </row>
        <row r="30">
          <cell r="B30">
            <v>0</v>
          </cell>
          <cell r="C30">
            <v>0</v>
          </cell>
          <cell r="D30">
            <v>0</v>
          </cell>
          <cell r="E30">
            <v>0</v>
          </cell>
          <cell r="F30">
            <v>0</v>
          </cell>
          <cell r="O30">
            <v>0</v>
          </cell>
          <cell r="P30">
            <v>0</v>
          </cell>
          <cell r="Q30">
            <v>0</v>
          </cell>
          <cell r="R30">
            <v>0</v>
          </cell>
          <cell r="S30">
            <v>0</v>
          </cell>
        </row>
        <row r="31">
          <cell r="B31">
            <v>0</v>
          </cell>
          <cell r="C31">
            <v>0</v>
          </cell>
          <cell r="D31">
            <v>0</v>
          </cell>
          <cell r="E31">
            <v>0</v>
          </cell>
          <cell r="F31">
            <v>0</v>
          </cell>
          <cell r="O31">
            <v>0</v>
          </cell>
          <cell r="P31">
            <v>0</v>
          </cell>
          <cell r="Q31">
            <v>0</v>
          </cell>
          <cell r="R31">
            <v>0</v>
          </cell>
          <cell r="S31">
            <v>0</v>
          </cell>
        </row>
        <row r="32">
          <cell r="B32">
            <v>0</v>
          </cell>
          <cell r="C32">
            <v>0</v>
          </cell>
          <cell r="D32">
            <v>0</v>
          </cell>
          <cell r="E32">
            <v>0</v>
          </cell>
          <cell r="F32">
            <v>0</v>
          </cell>
          <cell r="O32">
            <v>0</v>
          </cell>
          <cell r="P32">
            <v>0</v>
          </cell>
          <cell r="Q32">
            <v>0</v>
          </cell>
          <cell r="R32">
            <v>0</v>
          </cell>
          <cell r="S32">
            <v>0</v>
          </cell>
        </row>
        <row r="33">
          <cell r="B33">
            <v>0</v>
          </cell>
          <cell r="C33">
            <v>0</v>
          </cell>
          <cell r="D33">
            <v>0</v>
          </cell>
          <cell r="E33">
            <v>0</v>
          </cell>
          <cell r="F33">
            <v>0</v>
          </cell>
          <cell r="O33">
            <v>0</v>
          </cell>
          <cell r="P33">
            <v>0</v>
          </cell>
          <cell r="Q33">
            <v>0</v>
          </cell>
          <cell r="R33">
            <v>0</v>
          </cell>
          <cell r="S33">
            <v>0</v>
          </cell>
        </row>
        <row r="34">
          <cell r="B34">
            <v>0</v>
          </cell>
          <cell r="C34">
            <v>0</v>
          </cell>
          <cell r="D34">
            <v>0</v>
          </cell>
          <cell r="E34">
            <v>0</v>
          </cell>
          <cell r="F34">
            <v>0</v>
          </cell>
          <cell r="O34">
            <v>0</v>
          </cell>
          <cell r="P34">
            <v>0</v>
          </cell>
          <cell r="Q34">
            <v>0</v>
          </cell>
          <cell r="R34">
            <v>0</v>
          </cell>
          <cell r="S34">
            <v>0</v>
          </cell>
        </row>
        <row r="35">
          <cell r="B35">
            <v>0</v>
          </cell>
          <cell r="C35">
            <v>0</v>
          </cell>
          <cell r="D35">
            <v>0</v>
          </cell>
          <cell r="E35">
            <v>0</v>
          </cell>
          <cell r="F35">
            <v>0</v>
          </cell>
          <cell r="O35">
            <v>0</v>
          </cell>
          <cell r="P35">
            <v>0</v>
          </cell>
          <cell r="Q35">
            <v>0</v>
          </cell>
          <cell r="R35">
            <v>0</v>
          </cell>
          <cell r="S35">
            <v>0</v>
          </cell>
        </row>
        <row r="36">
          <cell r="B36">
            <v>0</v>
          </cell>
          <cell r="C36">
            <v>0</v>
          </cell>
          <cell r="D36">
            <v>0</v>
          </cell>
          <cell r="E36">
            <v>0</v>
          </cell>
          <cell r="F36">
            <v>0</v>
          </cell>
          <cell r="O36">
            <v>0</v>
          </cell>
          <cell r="P36">
            <v>0</v>
          </cell>
          <cell r="Q36">
            <v>0</v>
          </cell>
          <cell r="R36">
            <v>0</v>
          </cell>
          <cell r="S36">
            <v>0</v>
          </cell>
        </row>
        <row r="37">
          <cell r="B37">
            <v>0</v>
          </cell>
          <cell r="C37">
            <v>0</v>
          </cell>
          <cell r="D37">
            <v>0</v>
          </cell>
          <cell r="E37">
            <v>0</v>
          </cell>
          <cell r="F37">
            <v>0</v>
          </cell>
          <cell r="O37">
            <v>0</v>
          </cell>
          <cell r="P37">
            <v>0</v>
          </cell>
          <cell r="Q37">
            <v>0</v>
          </cell>
          <cell r="R37">
            <v>0</v>
          </cell>
          <cell r="S37">
            <v>0</v>
          </cell>
        </row>
        <row r="38">
          <cell r="B38">
            <v>0</v>
          </cell>
          <cell r="C38">
            <v>0</v>
          </cell>
          <cell r="D38">
            <v>0</v>
          </cell>
          <cell r="E38">
            <v>0</v>
          </cell>
          <cell r="F38">
            <v>0</v>
          </cell>
          <cell r="O38">
            <v>0</v>
          </cell>
          <cell r="P38">
            <v>0</v>
          </cell>
          <cell r="Q38">
            <v>0</v>
          </cell>
          <cell r="R38">
            <v>0</v>
          </cell>
          <cell r="S38">
            <v>0</v>
          </cell>
        </row>
        <row r="39">
          <cell r="B39">
            <v>0</v>
          </cell>
          <cell r="C39">
            <v>0</v>
          </cell>
          <cell r="D39">
            <v>0</v>
          </cell>
          <cell r="E39">
            <v>0</v>
          </cell>
          <cell r="F39">
            <v>0</v>
          </cell>
          <cell r="O39">
            <v>0</v>
          </cell>
          <cell r="P39">
            <v>0</v>
          </cell>
          <cell r="Q39">
            <v>0</v>
          </cell>
          <cell r="R39">
            <v>0</v>
          </cell>
          <cell r="S39">
            <v>0</v>
          </cell>
        </row>
        <row r="40">
          <cell r="B40">
            <v>0</v>
          </cell>
          <cell r="C40">
            <v>0</v>
          </cell>
          <cell r="D40">
            <v>0</v>
          </cell>
          <cell r="E40">
            <v>0</v>
          </cell>
          <cell r="F40">
            <v>0</v>
          </cell>
          <cell r="O40">
            <v>0</v>
          </cell>
          <cell r="P40">
            <v>0</v>
          </cell>
          <cell r="Q40">
            <v>0</v>
          </cell>
          <cell r="R40">
            <v>0</v>
          </cell>
          <cell r="S40">
            <v>0</v>
          </cell>
        </row>
        <row r="41">
          <cell r="B41">
            <v>0</v>
          </cell>
          <cell r="C41">
            <v>0</v>
          </cell>
          <cell r="D41">
            <v>0</v>
          </cell>
          <cell r="E41">
            <v>0</v>
          </cell>
          <cell r="F41">
            <v>0</v>
          </cell>
          <cell r="O41">
            <v>0</v>
          </cell>
          <cell r="P41">
            <v>0</v>
          </cell>
          <cell r="Q41">
            <v>0</v>
          </cell>
          <cell r="R41">
            <v>0</v>
          </cell>
          <cell r="S41">
            <v>0</v>
          </cell>
        </row>
        <row r="42">
          <cell r="B42">
            <v>0</v>
          </cell>
          <cell r="C42">
            <v>0</v>
          </cell>
          <cell r="D42">
            <v>0</v>
          </cell>
          <cell r="E42">
            <v>0</v>
          </cell>
          <cell r="F42">
            <v>0</v>
          </cell>
          <cell r="O42">
            <v>0</v>
          </cell>
          <cell r="P42">
            <v>0</v>
          </cell>
          <cell r="Q42">
            <v>0</v>
          </cell>
          <cell r="R42">
            <v>0</v>
          </cell>
          <cell r="S42">
            <v>0</v>
          </cell>
        </row>
        <row r="43">
          <cell r="B43">
            <v>0</v>
          </cell>
          <cell r="C43">
            <v>0</v>
          </cell>
          <cell r="D43">
            <v>0</v>
          </cell>
          <cell r="E43">
            <v>0</v>
          </cell>
          <cell r="F43">
            <v>0</v>
          </cell>
          <cell r="O43">
            <v>0</v>
          </cell>
          <cell r="P43">
            <v>0</v>
          </cell>
          <cell r="Q43">
            <v>0</v>
          </cell>
          <cell r="R43">
            <v>0</v>
          </cell>
          <cell r="S43">
            <v>0</v>
          </cell>
        </row>
        <row r="44">
          <cell r="B44">
            <v>0</v>
          </cell>
          <cell r="C44">
            <v>0</v>
          </cell>
          <cell r="D44">
            <v>0</v>
          </cell>
          <cell r="E44">
            <v>0</v>
          </cell>
          <cell r="F44">
            <v>0</v>
          </cell>
          <cell r="O44">
            <v>0</v>
          </cell>
          <cell r="P44">
            <v>0</v>
          </cell>
          <cell r="Q44">
            <v>0</v>
          </cell>
          <cell r="R44">
            <v>0</v>
          </cell>
          <cell r="S44">
            <v>0</v>
          </cell>
        </row>
        <row r="45">
          <cell r="B45">
            <v>0</v>
          </cell>
          <cell r="C45">
            <v>0</v>
          </cell>
          <cell r="D45">
            <v>0</v>
          </cell>
          <cell r="E45">
            <v>0</v>
          </cell>
          <cell r="F45">
            <v>0</v>
          </cell>
          <cell r="O45">
            <v>0</v>
          </cell>
          <cell r="P45">
            <v>0</v>
          </cell>
          <cell r="Q45">
            <v>0</v>
          </cell>
          <cell r="R45">
            <v>0</v>
          </cell>
          <cell r="S45">
            <v>0</v>
          </cell>
        </row>
        <row r="46">
          <cell r="B46">
            <v>0</v>
          </cell>
          <cell r="C46">
            <v>0</v>
          </cell>
          <cell r="D46">
            <v>0</v>
          </cell>
          <cell r="E46">
            <v>0</v>
          </cell>
          <cell r="F46">
            <v>0</v>
          </cell>
          <cell r="O46">
            <v>0</v>
          </cell>
          <cell r="P46">
            <v>0</v>
          </cell>
          <cell r="Q46">
            <v>0</v>
          </cell>
          <cell r="R46">
            <v>0</v>
          </cell>
          <cell r="S46">
            <v>0</v>
          </cell>
        </row>
        <row r="47">
          <cell r="B47">
            <v>0</v>
          </cell>
          <cell r="C47">
            <v>0</v>
          </cell>
          <cell r="D47">
            <v>0</v>
          </cell>
          <cell r="E47">
            <v>0</v>
          </cell>
          <cell r="F47">
            <v>0</v>
          </cell>
          <cell r="O47">
            <v>0</v>
          </cell>
          <cell r="P47">
            <v>0</v>
          </cell>
          <cell r="Q47">
            <v>0</v>
          </cell>
          <cell r="R47">
            <v>0</v>
          </cell>
          <cell r="S47">
            <v>0</v>
          </cell>
        </row>
        <row r="48">
          <cell r="B48">
            <v>0</v>
          </cell>
          <cell r="C48">
            <v>0</v>
          </cell>
          <cell r="D48">
            <v>0</v>
          </cell>
          <cell r="E48">
            <v>0</v>
          </cell>
          <cell r="F48">
            <v>0</v>
          </cell>
          <cell r="O48">
            <v>0</v>
          </cell>
          <cell r="P48">
            <v>0</v>
          </cell>
          <cell r="Q48">
            <v>0</v>
          </cell>
          <cell r="R48">
            <v>0</v>
          </cell>
          <cell r="S48">
            <v>0</v>
          </cell>
        </row>
        <row r="49">
          <cell r="B49">
            <v>0</v>
          </cell>
          <cell r="C49">
            <v>0</v>
          </cell>
          <cell r="D49">
            <v>0</v>
          </cell>
          <cell r="E49">
            <v>0</v>
          </cell>
          <cell r="F49">
            <v>0</v>
          </cell>
          <cell r="O49">
            <v>0</v>
          </cell>
          <cell r="P49">
            <v>0</v>
          </cell>
          <cell r="Q49">
            <v>0</v>
          </cell>
          <cell r="R49">
            <v>0</v>
          </cell>
          <cell r="S49">
            <v>0</v>
          </cell>
        </row>
        <row r="50">
          <cell r="B50">
            <v>0</v>
          </cell>
          <cell r="C50">
            <v>0</v>
          </cell>
          <cell r="D50">
            <v>0</v>
          </cell>
          <cell r="E50">
            <v>0</v>
          </cell>
          <cell r="F50">
            <v>0</v>
          </cell>
          <cell r="O50">
            <v>0</v>
          </cell>
          <cell r="P50">
            <v>0</v>
          </cell>
          <cell r="Q50">
            <v>0</v>
          </cell>
          <cell r="R50">
            <v>0</v>
          </cell>
          <cell r="S50">
            <v>0</v>
          </cell>
        </row>
        <row r="51">
          <cell r="B51">
            <v>0</v>
          </cell>
          <cell r="C51">
            <v>0</v>
          </cell>
          <cell r="D51">
            <v>0</v>
          </cell>
          <cell r="E51">
            <v>0</v>
          </cell>
          <cell r="F51">
            <v>0</v>
          </cell>
          <cell r="O51">
            <v>0</v>
          </cell>
          <cell r="P51">
            <v>0</v>
          </cell>
          <cell r="Q51">
            <v>0</v>
          </cell>
          <cell r="R51">
            <v>0</v>
          </cell>
          <cell r="S51">
            <v>0</v>
          </cell>
        </row>
        <row r="52">
          <cell r="B52">
            <v>0</v>
          </cell>
          <cell r="C52">
            <v>0</v>
          </cell>
          <cell r="D52">
            <v>0</v>
          </cell>
          <cell r="E52">
            <v>0</v>
          </cell>
          <cell r="F52">
            <v>0</v>
          </cell>
          <cell r="O52">
            <v>0</v>
          </cell>
          <cell r="P52">
            <v>0</v>
          </cell>
          <cell r="Q52">
            <v>0</v>
          </cell>
          <cell r="R52">
            <v>0</v>
          </cell>
          <cell r="S52">
            <v>0</v>
          </cell>
        </row>
        <row r="53">
          <cell r="B53">
            <v>0</v>
          </cell>
          <cell r="C53">
            <v>0</v>
          </cell>
          <cell r="D53">
            <v>0</v>
          </cell>
          <cell r="E53">
            <v>0</v>
          </cell>
          <cell r="F53">
            <v>0</v>
          </cell>
          <cell r="O53">
            <v>0</v>
          </cell>
          <cell r="P53">
            <v>0</v>
          </cell>
          <cell r="Q53">
            <v>0</v>
          </cell>
          <cell r="R53">
            <v>0</v>
          </cell>
          <cell r="S53">
            <v>0</v>
          </cell>
        </row>
        <row r="54">
          <cell r="B54">
            <v>0</v>
          </cell>
          <cell r="C54">
            <v>0</v>
          </cell>
          <cell r="D54">
            <v>0</v>
          </cell>
          <cell r="E54">
            <v>0</v>
          </cell>
          <cell r="F54">
            <v>0</v>
          </cell>
          <cell r="O54">
            <v>0</v>
          </cell>
          <cell r="P54">
            <v>0</v>
          </cell>
          <cell r="Q54">
            <v>0</v>
          </cell>
          <cell r="R54">
            <v>0</v>
          </cell>
          <cell r="S54">
            <v>0</v>
          </cell>
        </row>
        <row r="55">
          <cell r="B55">
            <v>0</v>
          </cell>
          <cell r="C55">
            <v>0</v>
          </cell>
          <cell r="D55">
            <v>0</v>
          </cell>
          <cell r="E55">
            <v>0</v>
          </cell>
          <cell r="F55">
            <v>0</v>
          </cell>
          <cell r="O55">
            <v>0</v>
          </cell>
          <cell r="P55">
            <v>0</v>
          </cell>
          <cell r="Q55">
            <v>0</v>
          </cell>
          <cell r="R55">
            <v>0</v>
          </cell>
          <cell r="S55">
            <v>0</v>
          </cell>
        </row>
        <row r="56">
          <cell r="B56">
            <v>0</v>
          </cell>
          <cell r="C56">
            <v>0</v>
          </cell>
          <cell r="D56">
            <v>0</v>
          </cell>
          <cell r="E56">
            <v>0</v>
          </cell>
          <cell r="F56">
            <v>0</v>
          </cell>
          <cell r="O56">
            <v>0</v>
          </cell>
          <cell r="P56">
            <v>0</v>
          </cell>
          <cell r="Q56">
            <v>0</v>
          </cell>
          <cell r="R56">
            <v>0</v>
          </cell>
          <cell r="S56">
            <v>0</v>
          </cell>
        </row>
        <row r="57">
          <cell r="B57">
            <v>0</v>
          </cell>
          <cell r="C57">
            <v>0</v>
          </cell>
          <cell r="D57">
            <v>0</v>
          </cell>
          <cell r="E57">
            <v>0</v>
          </cell>
          <cell r="F57">
            <v>0</v>
          </cell>
          <cell r="O57">
            <v>0</v>
          </cell>
          <cell r="P57">
            <v>0</v>
          </cell>
          <cell r="Q57">
            <v>0</v>
          </cell>
          <cell r="R57">
            <v>0</v>
          </cell>
          <cell r="S57">
            <v>0</v>
          </cell>
        </row>
        <row r="58">
          <cell r="B58">
            <v>0</v>
          </cell>
          <cell r="C58">
            <v>0</v>
          </cell>
          <cell r="D58">
            <v>0</v>
          </cell>
          <cell r="E58">
            <v>0</v>
          </cell>
          <cell r="F58">
            <v>0</v>
          </cell>
          <cell r="O58">
            <v>0</v>
          </cell>
          <cell r="P58">
            <v>0</v>
          </cell>
          <cell r="Q58">
            <v>0</v>
          </cell>
          <cell r="R58">
            <v>0</v>
          </cell>
          <cell r="S58">
            <v>0</v>
          </cell>
        </row>
        <row r="59">
          <cell r="B59">
            <v>0</v>
          </cell>
          <cell r="C59">
            <v>0</v>
          </cell>
          <cell r="D59">
            <v>0</v>
          </cell>
          <cell r="E59">
            <v>0</v>
          </cell>
          <cell r="F59">
            <v>0</v>
          </cell>
          <cell r="O59">
            <v>0</v>
          </cell>
          <cell r="P59">
            <v>0</v>
          </cell>
          <cell r="Q59">
            <v>0</v>
          </cell>
          <cell r="R59">
            <v>0</v>
          </cell>
          <cell r="S59">
            <v>0</v>
          </cell>
        </row>
        <row r="60">
          <cell r="B60">
            <v>0</v>
          </cell>
          <cell r="C60">
            <v>0</v>
          </cell>
          <cell r="D60">
            <v>0</v>
          </cell>
          <cell r="E60">
            <v>0</v>
          </cell>
          <cell r="F60">
            <v>0</v>
          </cell>
          <cell r="O60">
            <v>0</v>
          </cell>
          <cell r="P60">
            <v>0</v>
          </cell>
          <cell r="Q60">
            <v>0</v>
          </cell>
          <cell r="R60">
            <v>0</v>
          </cell>
          <cell r="S60">
            <v>0</v>
          </cell>
        </row>
      </sheetData>
      <sheetData sheetId="7" refreshError="1">
        <row r="7">
          <cell r="J7">
            <v>0</v>
          </cell>
        </row>
        <row r="11">
          <cell r="B11">
            <v>0</v>
          </cell>
          <cell r="C11">
            <v>0</v>
          </cell>
          <cell r="D11">
            <v>0</v>
          </cell>
          <cell r="E11">
            <v>0</v>
          </cell>
          <cell r="F11">
            <v>0</v>
          </cell>
          <cell r="O11">
            <v>0</v>
          </cell>
          <cell r="P11">
            <v>0</v>
          </cell>
          <cell r="Q11">
            <v>0</v>
          </cell>
          <cell r="R11">
            <v>0</v>
          </cell>
          <cell r="S11">
            <v>0</v>
          </cell>
        </row>
        <row r="12">
          <cell r="B12">
            <v>0</v>
          </cell>
          <cell r="C12">
            <v>0</v>
          </cell>
          <cell r="D12">
            <v>0</v>
          </cell>
          <cell r="E12">
            <v>0</v>
          </cell>
          <cell r="F12">
            <v>0</v>
          </cell>
          <cell r="O12">
            <v>0</v>
          </cell>
          <cell r="P12">
            <v>0</v>
          </cell>
          <cell r="Q12">
            <v>0</v>
          </cell>
          <cell r="R12">
            <v>0</v>
          </cell>
          <cell r="S12">
            <v>0</v>
          </cell>
        </row>
        <row r="13">
          <cell r="B13">
            <v>0</v>
          </cell>
          <cell r="C13">
            <v>0</v>
          </cell>
          <cell r="D13">
            <v>0</v>
          </cell>
          <cell r="E13">
            <v>0</v>
          </cell>
          <cell r="F13">
            <v>0</v>
          </cell>
          <cell r="O13">
            <v>0</v>
          </cell>
          <cell r="P13">
            <v>0</v>
          </cell>
          <cell r="Q13">
            <v>0</v>
          </cell>
          <cell r="R13">
            <v>0</v>
          </cell>
          <cell r="S13">
            <v>0</v>
          </cell>
        </row>
        <row r="14">
          <cell r="B14">
            <v>0</v>
          </cell>
          <cell r="C14">
            <v>0</v>
          </cell>
          <cell r="D14">
            <v>0</v>
          </cell>
          <cell r="E14">
            <v>0</v>
          </cell>
          <cell r="F14">
            <v>0</v>
          </cell>
          <cell r="O14">
            <v>0</v>
          </cell>
          <cell r="P14">
            <v>0</v>
          </cell>
          <cell r="Q14">
            <v>0</v>
          </cell>
          <cell r="R14">
            <v>0</v>
          </cell>
          <cell r="S14">
            <v>0</v>
          </cell>
        </row>
        <row r="15">
          <cell r="B15">
            <v>0</v>
          </cell>
          <cell r="C15">
            <v>0</v>
          </cell>
          <cell r="D15">
            <v>0</v>
          </cell>
          <cell r="E15">
            <v>0</v>
          </cell>
          <cell r="F15">
            <v>0</v>
          </cell>
          <cell r="O15">
            <v>0</v>
          </cell>
          <cell r="P15">
            <v>0</v>
          </cell>
          <cell r="Q15">
            <v>0</v>
          </cell>
          <cell r="R15">
            <v>0</v>
          </cell>
          <cell r="S15">
            <v>0</v>
          </cell>
        </row>
        <row r="16">
          <cell r="B16">
            <v>0</v>
          </cell>
          <cell r="C16">
            <v>0</v>
          </cell>
          <cell r="D16">
            <v>0</v>
          </cell>
          <cell r="E16">
            <v>0</v>
          </cell>
          <cell r="F16">
            <v>0</v>
          </cell>
          <cell r="O16">
            <v>0</v>
          </cell>
          <cell r="P16">
            <v>0</v>
          </cell>
          <cell r="Q16">
            <v>0</v>
          </cell>
          <cell r="R16">
            <v>0</v>
          </cell>
          <cell r="S16">
            <v>0</v>
          </cell>
        </row>
        <row r="17">
          <cell r="B17">
            <v>0</v>
          </cell>
          <cell r="C17">
            <v>0</v>
          </cell>
          <cell r="D17">
            <v>0</v>
          </cell>
          <cell r="E17">
            <v>0</v>
          </cell>
          <cell r="F17">
            <v>0</v>
          </cell>
          <cell r="O17">
            <v>0</v>
          </cell>
          <cell r="P17">
            <v>0</v>
          </cell>
          <cell r="Q17">
            <v>0</v>
          </cell>
          <cell r="R17">
            <v>0</v>
          </cell>
          <cell r="S17">
            <v>0</v>
          </cell>
        </row>
        <row r="18">
          <cell r="B18">
            <v>0</v>
          </cell>
          <cell r="C18">
            <v>0</v>
          </cell>
          <cell r="D18">
            <v>0</v>
          </cell>
          <cell r="E18">
            <v>0</v>
          </cell>
          <cell r="F18">
            <v>0</v>
          </cell>
          <cell r="O18">
            <v>0</v>
          </cell>
          <cell r="P18">
            <v>0</v>
          </cell>
          <cell r="Q18">
            <v>0</v>
          </cell>
          <cell r="R18">
            <v>0</v>
          </cell>
          <cell r="S18">
            <v>0</v>
          </cell>
        </row>
        <row r="19">
          <cell r="B19">
            <v>0</v>
          </cell>
          <cell r="C19">
            <v>0</v>
          </cell>
          <cell r="D19">
            <v>0</v>
          </cell>
          <cell r="E19">
            <v>0</v>
          </cell>
          <cell r="F19">
            <v>0</v>
          </cell>
          <cell r="O19">
            <v>0</v>
          </cell>
          <cell r="P19">
            <v>0</v>
          </cell>
          <cell r="Q19">
            <v>0</v>
          </cell>
          <cell r="R19">
            <v>0</v>
          </cell>
          <cell r="S19">
            <v>0</v>
          </cell>
        </row>
        <row r="20">
          <cell r="B20">
            <v>0</v>
          </cell>
          <cell r="C20">
            <v>0</v>
          </cell>
          <cell r="D20">
            <v>0</v>
          </cell>
          <cell r="E20">
            <v>0</v>
          </cell>
          <cell r="F20">
            <v>0</v>
          </cell>
          <cell r="O20">
            <v>0</v>
          </cell>
          <cell r="P20">
            <v>0</v>
          </cell>
          <cell r="Q20">
            <v>0</v>
          </cell>
          <cell r="R20">
            <v>0</v>
          </cell>
          <cell r="S20">
            <v>0</v>
          </cell>
        </row>
        <row r="21">
          <cell r="B21">
            <v>0</v>
          </cell>
          <cell r="C21">
            <v>0</v>
          </cell>
          <cell r="D21">
            <v>0</v>
          </cell>
          <cell r="E21">
            <v>0</v>
          </cell>
          <cell r="F21">
            <v>0</v>
          </cell>
          <cell r="O21">
            <v>0</v>
          </cell>
          <cell r="P21">
            <v>0</v>
          </cell>
          <cell r="Q21">
            <v>0</v>
          </cell>
          <cell r="R21">
            <v>0</v>
          </cell>
          <cell r="S21">
            <v>0</v>
          </cell>
        </row>
        <row r="22">
          <cell r="B22">
            <v>0</v>
          </cell>
          <cell r="C22">
            <v>0</v>
          </cell>
          <cell r="D22">
            <v>0</v>
          </cell>
          <cell r="E22">
            <v>0</v>
          </cell>
          <cell r="F22">
            <v>0</v>
          </cell>
          <cell r="O22">
            <v>0</v>
          </cell>
          <cell r="P22">
            <v>0</v>
          </cell>
          <cell r="Q22">
            <v>0</v>
          </cell>
          <cell r="R22">
            <v>0</v>
          </cell>
          <cell r="S22">
            <v>0</v>
          </cell>
        </row>
        <row r="23">
          <cell r="B23">
            <v>0</v>
          </cell>
          <cell r="C23">
            <v>0</v>
          </cell>
          <cell r="D23">
            <v>0</v>
          </cell>
          <cell r="E23">
            <v>0</v>
          </cell>
          <cell r="F23">
            <v>0</v>
          </cell>
          <cell r="O23">
            <v>0</v>
          </cell>
          <cell r="P23">
            <v>0</v>
          </cell>
          <cell r="Q23">
            <v>0</v>
          </cell>
          <cell r="R23">
            <v>0</v>
          </cell>
          <cell r="S23">
            <v>0</v>
          </cell>
        </row>
        <row r="24">
          <cell r="B24">
            <v>0</v>
          </cell>
          <cell r="C24">
            <v>0</v>
          </cell>
          <cell r="D24">
            <v>0</v>
          </cell>
          <cell r="E24">
            <v>0</v>
          </cell>
          <cell r="F24">
            <v>0</v>
          </cell>
          <cell r="O24">
            <v>0</v>
          </cell>
          <cell r="P24">
            <v>0</v>
          </cell>
          <cell r="Q24">
            <v>0</v>
          </cell>
          <cell r="R24">
            <v>0</v>
          </cell>
          <cell r="S24">
            <v>0</v>
          </cell>
        </row>
        <row r="25">
          <cell r="B25">
            <v>0</v>
          </cell>
          <cell r="C25">
            <v>0</v>
          </cell>
          <cell r="D25">
            <v>0</v>
          </cell>
          <cell r="E25">
            <v>0</v>
          </cell>
          <cell r="F25">
            <v>0</v>
          </cell>
          <cell r="O25">
            <v>0</v>
          </cell>
          <cell r="P25">
            <v>0</v>
          </cell>
          <cell r="Q25">
            <v>0</v>
          </cell>
          <cell r="R25">
            <v>0</v>
          </cell>
          <cell r="S25">
            <v>0</v>
          </cell>
        </row>
        <row r="26">
          <cell r="B26">
            <v>0</v>
          </cell>
          <cell r="C26">
            <v>0</v>
          </cell>
          <cell r="D26">
            <v>0</v>
          </cell>
          <cell r="E26">
            <v>0</v>
          </cell>
          <cell r="F26">
            <v>0</v>
          </cell>
          <cell r="O26">
            <v>0</v>
          </cell>
          <cell r="P26">
            <v>0</v>
          </cell>
          <cell r="Q26">
            <v>0</v>
          </cell>
          <cell r="R26">
            <v>0</v>
          </cell>
          <cell r="S26">
            <v>0</v>
          </cell>
        </row>
        <row r="27">
          <cell r="B27">
            <v>0</v>
          </cell>
          <cell r="C27">
            <v>0</v>
          </cell>
          <cell r="D27">
            <v>0</v>
          </cell>
          <cell r="E27">
            <v>0</v>
          </cell>
          <cell r="F27">
            <v>0</v>
          </cell>
          <cell r="O27">
            <v>0</v>
          </cell>
          <cell r="P27">
            <v>0</v>
          </cell>
          <cell r="Q27">
            <v>0</v>
          </cell>
          <cell r="R27">
            <v>0</v>
          </cell>
          <cell r="S27">
            <v>0</v>
          </cell>
        </row>
        <row r="28">
          <cell r="B28">
            <v>0</v>
          </cell>
          <cell r="C28">
            <v>0</v>
          </cell>
          <cell r="D28">
            <v>0</v>
          </cell>
          <cell r="E28">
            <v>0</v>
          </cell>
          <cell r="F28">
            <v>0</v>
          </cell>
          <cell r="O28">
            <v>0</v>
          </cell>
          <cell r="P28">
            <v>0</v>
          </cell>
          <cell r="Q28">
            <v>0</v>
          </cell>
          <cell r="R28">
            <v>0</v>
          </cell>
          <cell r="S28">
            <v>0</v>
          </cell>
        </row>
        <row r="29">
          <cell r="B29">
            <v>0</v>
          </cell>
          <cell r="C29">
            <v>0</v>
          </cell>
          <cell r="D29">
            <v>0</v>
          </cell>
          <cell r="E29">
            <v>0</v>
          </cell>
          <cell r="F29">
            <v>0</v>
          </cell>
          <cell r="O29">
            <v>0</v>
          </cell>
          <cell r="P29">
            <v>0</v>
          </cell>
          <cell r="Q29">
            <v>0</v>
          </cell>
          <cell r="R29">
            <v>0</v>
          </cell>
          <cell r="S29">
            <v>0</v>
          </cell>
        </row>
        <row r="30">
          <cell r="B30">
            <v>0</v>
          </cell>
          <cell r="C30">
            <v>0</v>
          </cell>
          <cell r="D30">
            <v>0</v>
          </cell>
          <cell r="E30">
            <v>0</v>
          </cell>
          <cell r="F30">
            <v>0</v>
          </cell>
          <cell r="O30">
            <v>0</v>
          </cell>
          <cell r="P30">
            <v>0</v>
          </cell>
          <cell r="Q30">
            <v>0</v>
          </cell>
          <cell r="R30">
            <v>0</v>
          </cell>
          <cell r="S30">
            <v>0</v>
          </cell>
        </row>
        <row r="31">
          <cell r="B31">
            <v>0</v>
          </cell>
          <cell r="C31">
            <v>0</v>
          </cell>
          <cell r="D31">
            <v>0</v>
          </cell>
          <cell r="E31">
            <v>0</v>
          </cell>
          <cell r="F31">
            <v>0</v>
          </cell>
          <cell r="O31">
            <v>0</v>
          </cell>
          <cell r="P31">
            <v>0</v>
          </cell>
          <cell r="Q31">
            <v>0</v>
          </cell>
          <cell r="R31">
            <v>0</v>
          </cell>
          <cell r="S31">
            <v>0</v>
          </cell>
        </row>
        <row r="32">
          <cell r="B32">
            <v>0</v>
          </cell>
          <cell r="C32">
            <v>0</v>
          </cell>
          <cell r="D32">
            <v>0</v>
          </cell>
          <cell r="E32">
            <v>0</v>
          </cell>
          <cell r="F32">
            <v>0</v>
          </cell>
          <cell r="O32">
            <v>0</v>
          </cell>
          <cell r="P32">
            <v>0</v>
          </cell>
          <cell r="Q32">
            <v>0</v>
          </cell>
          <cell r="R32">
            <v>0</v>
          </cell>
          <cell r="S32">
            <v>0</v>
          </cell>
        </row>
        <row r="33">
          <cell r="B33">
            <v>0</v>
          </cell>
          <cell r="C33">
            <v>0</v>
          </cell>
          <cell r="D33">
            <v>0</v>
          </cell>
          <cell r="E33">
            <v>0</v>
          </cell>
          <cell r="F33">
            <v>0</v>
          </cell>
          <cell r="O33">
            <v>0</v>
          </cell>
          <cell r="P33">
            <v>0</v>
          </cell>
          <cell r="Q33">
            <v>0</v>
          </cell>
          <cell r="R33">
            <v>0</v>
          </cell>
          <cell r="S33">
            <v>0</v>
          </cell>
        </row>
        <row r="34">
          <cell r="B34">
            <v>0</v>
          </cell>
          <cell r="C34">
            <v>0</v>
          </cell>
          <cell r="D34">
            <v>0</v>
          </cell>
          <cell r="E34">
            <v>0</v>
          </cell>
          <cell r="F34">
            <v>0</v>
          </cell>
          <cell r="O34">
            <v>0</v>
          </cell>
          <cell r="P34">
            <v>0</v>
          </cell>
          <cell r="Q34">
            <v>0</v>
          </cell>
          <cell r="R34">
            <v>0</v>
          </cell>
          <cell r="S34">
            <v>0</v>
          </cell>
        </row>
        <row r="35">
          <cell r="B35">
            <v>0</v>
          </cell>
          <cell r="C35">
            <v>0</v>
          </cell>
          <cell r="D35">
            <v>0</v>
          </cell>
          <cell r="E35">
            <v>0</v>
          </cell>
          <cell r="F35">
            <v>0</v>
          </cell>
          <cell r="O35">
            <v>0</v>
          </cell>
          <cell r="P35">
            <v>0</v>
          </cell>
          <cell r="Q35">
            <v>0</v>
          </cell>
          <cell r="R35">
            <v>0</v>
          </cell>
          <cell r="S35">
            <v>0</v>
          </cell>
        </row>
        <row r="36">
          <cell r="B36">
            <v>0</v>
          </cell>
          <cell r="C36">
            <v>0</v>
          </cell>
          <cell r="D36">
            <v>0</v>
          </cell>
          <cell r="E36">
            <v>0</v>
          </cell>
          <cell r="F36">
            <v>0</v>
          </cell>
          <cell r="O36">
            <v>0</v>
          </cell>
          <cell r="P36">
            <v>0</v>
          </cell>
          <cell r="Q36">
            <v>0</v>
          </cell>
          <cell r="R36">
            <v>0</v>
          </cell>
          <cell r="S36">
            <v>0</v>
          </cell>
        </row>
        <row r="37">
          <cell r="B37">
            <v>0</v>
          </cell>
          <cell r="C37">
            <v>0</v>
          </cell>
          <cell r="D37">
            <v>0</v>
          </cell>
          <cell r="E37">
            <v>0</v>
          </cell>
          <cell r="F37">
            <v>0</v>
          </cell>
          <cell r="O37">
            <v>0</v>
          </cell>
          <cell r="P37">
            <v>0</v>
          </cell>
          <cell r="Q37">
            <v>0</v>
          </cell>
          <cell r="R37">
            <v>0</v>
          </cell>
          <cell r="S37">
            <v>0</v>
          </cell>
        </row>
        <row r="38">
          <cell r="B38">
            <v>0</v>
          </cell>
          <cell r="C38">
            <v>0</v>
          </cell>
          <cell r="D38">
            <v>0</v>
          </cell>
          <cell r="E38">
            <v>0</v>
          </cell>
          <cell r="F38">
            <v>0</v>
          </cell>
          <cell r="O38">
            <v>0</v>
          </cell>
          <cell r="P38">
            <v>0</v>
          </cell>
          <cell r="Q38">
            <v>0</v>
          </cell>
          <cell r="R38">
            <v>0</v>
          </cell>
          <cell r="S38">
            <v>0</v>
          </cell>
        </row>
        <row r="39">
          <cell r="B39">
            <v>0</v>
          </cell>
          <cell r="C39">
            <v>0</v>
          </cell>
          <cell r="D39">
            <v>0</v>
          </cell>
          <cell r="E39">
            <v>0</v>
          </cell>
          <cell r="F39">
            <v>0</v>
          </cell>
          <cell r="O39">
            <v>0</v>
          </cell>
          <cell r="P39">
            <v>0</v>
          </cell>
          <cell r="Q39">
            <v>0</v>
          </cell>
          <cell r="R39">
            <v>0</v>
          </cell>
          <cell r="S39">
            <v>0</v>
          </cell>
        </row>
        <row r="40">
          <cell r="B40">
            <v>0</v>
          </cell>
          <cell r="C40">
            <v>0</v>
          </cell>
          <cell r="D40">
            <v>0</v>
          </cell>
          <cell r="E40">
            <v>0</v>
          </cell>
          <cell r="F40">
            <v>0</v>
          </cell>
          <cell r="O40">
            <v>0</v>
          </cell>
          <cell r="P40">
            <v>0</v>
          </cell>
          <cell r="Q40">
            <v>0</v>
          </cell>
          <cell r="R40">
            <v>0</v>
          </cell>
          <cell r="S40">
            <v>0</v>
          </cell>
        </row>
        <row r="41">
          <cell r="B41">
            <v>0</v>
          </cell>
          <cell r="C41">
            <v>0</v>
          </cell>
          <cell r="D41">
            <v>0</v>
          </cell>
          <cell r="E41">
            <v>0</v>
          </cell>
          <cell r="F41">
            <v>0</v>
          </cell>
          <cell r="O41">
            <v>0</v>
          </cell>
          <cell r="P41">
            <v>0</v>
          </cell>
          <cell r="Q41">
            <v>0</v>
          </cell>
          <cell r="R41">
            <v>0</v>
          </cell>
          <cell r="S41">
            <v>0</v>
          </cell>
        </row>
        <row r="42">
          <cell r="B42">
            <v>0</v>
          </cell>
          <cell r="C42">
            <v>0</v>
          </cell>
          <cell r="D42">
            <v>0</v>
          </cell>
          <cell r="E42">
            <v>0</v>
          </cell>
          <cell r="F42">
            <v>0</v>
          </cell>
          <cell r="O42">
            <v>0</v>
          </cell>
          <cell r="P42">
            <v>0</v>
          </cell>
          <cell r="Q42">
            <v>0</v>
          </cell>
          <cell r="R42">
            <v>0</v>
          </cell>
          <cell r="S42">
            <v>0</v>
          </cell>
        </row>
        <row r="43">
          <cell r="B43">
            <v>0</v>
          </cell>
          <cell r="C43">
            <v>0</v>
          </cell>
          <cell r="D43">
            <v>0</v>
          </cell>
          <cell r="E43">
            <v>0</v>
          </cell>
          <cell r="F43">
            <v>0</v>
          </cell>
          <cell r="O43">
            <v>0</v>
          </cell>
          <cell r="P43">
            <v>0</v>
          </cell>
          <cell r="Q43">
            <v>0</v>
          </cell>
          <cell r="R43">
            <v>0</v>
          </cell>
          <cell r="S43">
            <v>0</v>
          </cell>
        </row>
        <row r="44">
          <cell r="B44">
            <v>0</v>
          </cell>
          <cell r="C44">
            <v>0</v>
          </cell>
          <cell r="D44">
            <v>0</v>
          </cell>
          <cell r="E44">
            <v>0</v>
          </cell>
          <cell r="F44">
            <v>0</v>
          </cell>
          <cell r="O44">
            <v>0</v>
          </cell>
          <cell r="P44">
            <v>0</v>
          </cell>
          <cell r="Q44">
            <v>0</v>
          </cell>
          <cell r="R44">
            <v>0</v>
          </cell>
          <cell r="S44">
            <v>0</v>
          </cell>
        </row>
        <row r="45">
          <cell r="B45">
            <v>0</v>
          </cell>
          <cell r="C45">
            <v>0</v>
          </cell>
          <cell r="D45">
            <v>0</v>
          </cell>
          <cell r="E45">
            <v>0</v>
          </cell>
          <cell r="F45">
            <v>0</v>
          </cell>
          <cell r="O45">
            <v>0</v>
          </cell>
          <cell r="P45">
            <v>0</v>
          </cell>
          <cell r="Q45">
            <v>0</v>
          </cell>
          <cell r="R45">
            <v>0</v>
          </cell>
          <cell r="S45">
            <v>0</v>
          </cell>
        </row>
        <row r="46">
          <cell r="B46">
            <v>0</v>
          </cell>
          <cell r="C46">
            <v>0</v>
          </cell>
          <cell r="D46">
            <v>0</v>
          </cell>
          <cell r="E46">
            <v>0</v>
          </cell>
          <cell r="F46">
            <v>0</v>
          </cell>
          <cell r="O46">
            <v>0</v>
          </cell>
          <cell r="P46">
            <v>0</v>
          </cell>
          <cell r="Q46">
            <v>0</v>
          </cell>
          <cell r="R46">
            <v>0</v>
          </cell>
          <cell r="S46">
            <v>0</v>
          </cell>
        </row>
        <row r="47">
          <cell r="B47">
            <v>0</v>
          </cell>
          <cell r="C47">
            <v>0</v>
          </cell>
          <cell r="D47">
            <v>0</v>
          </cell>
          <cell r="E47">
            <v>0</v>
          </cell>
          <cell r="F47">
            <v>0</v>
          </cell>
          <cell r="O47">
            <v>0</v>
          </cell>
          <cell r="P47">
            <v>0</v>
          </cell>
          <cell r="Q47">
            <v>0</v>
          </cell>
          <cell r="R47">
            <v>0</v>
          </cell>
          <cell r="S47">
            <v>0</v>
          </cell>
        </row>
        <row r="48">
          <cell r="B48">
            <v>0</v>
          </cell>
          <cell r="C48">
            <v>0</v>
          </cell>
          <cell r="D48">
            <v>0</v>
          </cell>
          <cell r="E48">
            <v>0</v>
          </cell>
          <cell r="F48">
            <v>0</v>
          </cell>
          <cell r="O48">
            <v>0</v>
          </cell>
          <cell r="P48">
            <v>0</v>
          </cell>
          <cell r="Q48">
            <v>0</v>
          </cell>
          <cell r="R48">
            <v>0</v>
          </cell>
          <cell r="S48">
            <v>0</v>
          </cell>
        </row>
        <row r="49">
          <cell r="B49">
            <v>0</v>
          </cell>
          <cell r="C49">
            <v>0</v>
          </cell>
          <cell r="D49">
            <v>0</v>
          </cell>
          <cell r="E49">
            <v>0</v>
          </cell>
          <cell r="F49">
            <v>0</v>
          </cell>
          <cell r="O49">
            <v>0</v>
          </cell>
          <cell r="P49">
            <v>0</v>
          </cell>
          <cell r="Q49">
            <v>0</v>
          </cell>
          <cell r="R49">
            <v>0</v>
          </cell>
          <cell r="S49">
            <v>0</v>
          </cell>
        </row>
        <row r="50">
          <cell r="B50">
            <v>0</v>
          </cell>
          <cell r="C50">
            <v>0</v>
          </cell>
          <cell r="D50">
            <v>0</v>
          </cell>
          <cell r="E50">
            <v>0</v>
          </cell>
          <cell r="F50">
            <v>0</v>
          </cell>
          <cell r="O50">
            <v>0</v>
          </cell>
          <cell r="P50">
            <v>0</v>
          </cell>
          <cell r="Q50">
            <v>0</v>
          </cell>
          <cell r="R50">
            <v>0</v>
          </cell>
          <cell r="S50">
            <v>0</v>
          </cell>
        </row>
        <row r="51">
          <cell r="B51">
            <v>0</v>
          </cell>
          <cell r="C51">
            <v>0</v>
          </cell>
          <cell r="D51">
            <v>0</v>
          </cell>
          <cell r="E51">
            <v>0</v>
          </cell>
          <cell r="F51">
            <v>0</v>
          </cell>
          <cell r="O51">
            <v>0</v>
          </cell>
          <cell r="P51">
            <v>0</v>
          </cell>
          <cell r="Q51">
            <v>0</v>
          </cell>
          <cell r="R51">
            <v>0</v>
          </cell>
          <cell r="S51">
            <v>0</v>
          </cell>
        </row>
        <row r="52">
          <cell r="B52">
            <v>0</v>
          </cell>
          <cell r="C52">
            <v>0</v>
          </cell>
          <cell r="D52">
            <v>0</v>
          </cell>
          <cell r="E52">
            <v>0</v>
          </cell>
          <cell r="F52">
            <v>0</v>
          </cell>
          <cell r="O52">
            <v>0</v>
          </cell>
          <cell r="P52">
            <v>0</v>
          </cell>
          <cell r="Q52">
            <v>0</v>
          </cell>
          <cell r="R52">
            <v>0</v>
          </cell>
          <cell r="S52">
            <v>0</v>
          </cell>
        </row>
        <row r="53">
          <cell r="B53">
            <v>0</v>
          </cell>
          <cell r="C53">
            <v>0</v>
          </cell>
          <cell r="D53">
            <v>0</v>
          </cell>
          <cell r="E53">
            <v>0</v>
          </cell>
          <cell r="F53">
            <v>0</v>
          </cell>
          <cell r="O53">
            <v>0</v>
          </cell>
          <cell r="P53">
            <v>0</v>
          </cell>
          <cell r="Q53">
            <v>0</v>
          </cell>
          <cell r="R53">
            <v>0</v>
          </cell>
          <cell r="S53">
            <v>0</v>
          </cell>
        </row>
        <row r="54">
          <cell r="B54">
            <v>0</v>
          </cell>
          <cell r="C54">
            <v>0</v>
          </cell>
          <cell r="D54">
            <v>0</v>
          </cell>
          <cell r="E54">
            <v>0</v>
          </cell>
          <cell r="F54">
            <v>0</v>
          </cell>
          <cell r="O54">
            <v>0</v>
          </cell>
          <cell r="P54">
            <v>0</v>
          </cell>
          <cell r="Q54">
            <v>0</v>
          </cell>
          <cell r="R54">
            <v>0</v>
          </cell>
          <cell r="S54">
            <v>0</v>
          </cell>
        </row>
        <row r="55">
          <cell r="B55">
            <v>0</v>
          </cell>
          <cell r="C55">
            <v>0</v>
          </cell>
          <cell r="D55">
            <v>0</v>
          </cell>
          <cell r="E55">
            <v>0</v>
          </cell>
          <cell r="F55">
            <v>0</v>
          </cell>
          <cell r="O55">
            <v>0</v>
          </cell>
          <cell r="P55">
            <v>0</v>
          </cell>
          <cell r="Q55">
            <v>0</v>
          </cell>
          <cell r="R55">
            <v>0</v>
          </cell>
          <cell r="S55">
            <v>0</v>
          </cell>
        </row>
        <row r="56">
          <cell r="B56">
            <v>0</v>
          </cell>
          <cell r="C56">
            <v>0</v>
          </cell>
          <cell r="D56">
            <v>0</v>
          </cell>
          <cell r="E56">
            <v>0</v>
          </cell>
          <cell r="F56">
            <v>0</v>
          </cell>
          <cell r="O56">
            <v>0</v>
          </cell>
          <cell r="P56">
            <v>0</v>
          </cell>
          <cell r="Q56">
            <v>0</v>
          </cell>
          <cell r="R56">
            <v>0</v>
          </cell>
          <cell r="S56">
            <v>0</v>
          </cell>
        </row>
        <row r="57">
          <cell r="B57">
            <v>0</v>
          </cell>
          <cell r="C57">
            <v>0</v>
          </cell>
          <cell r="D57">
            <v>0</v>
          </cell>
          <cell r="E57">
            <v>0</v>
          </cell>
          <cell r="F57">
            <v>0</v>
          </cell>
          <cell r="O57">
            <v>0</v>
          </cell>
          <cell r="P57">
            <v>0</v>
          </cell>
          <cell r="Q57">
            <v>0</v>
          </cell>
          <cell r="R57">
            <v>0</v>
          </cell>
          <cell r="S57">
            <v>0</v>
          </cell>
        </row>
        <row r="58">
          <cell r="B58">
            <v>0</v>
          </cell>
          <cell r="C58">
            <v>0</v>
          </cell>
          <cell r="D58">
            <v>0</v>
          </cell>
          <cell r="E58">
            <v>0</v>
          </cell>
          <cell r="F58">
            <v>0</v>
          </cell>
          <cell r="O58">
            <v>0</v>
          </cell>
          <cell r="P58">
            <v>0</v>
          </cell>
          <cell r="Q58">
            <v>0</v>
          </cell>
          <cell r="R58">
            <v>0</v>
          </cell>
          <cell r="S58">
            <v>0</v>
          </cell>
        </row>
        <row r="59">
          <cell r="B59">
            <v>0</v>
          </cell>
          <cell r="C59">
            <v>0</v>
          </cell>
          <cell r="D59">
            <v>0</v>
          </cell>
          <cell r="E59">
            <v>0</v>
          </cell>
          <cell r="F59">
            <v>0</v>
          </cell>
          <cell r="O59">
            <v>0</v>
          </cell>
          <cell r="P59">
            <v>0</v>
          </cell>
          <cell r="Q59">
            <v>0</v>
          </cell>
          <cell r="R59">
            <v>0</v>
          </cell>
          <cell r="S59">
            <v>0</v>
          </cell>
        </row>
        <row r="60">
          <cell r="B60">
            <v>0</v>
          </cell>
          <cell r="C60">
            <v>0</v>
          </cell>
          <cell r="D60">
            <v>0</v>
          </cell>
          <cell r="E60">
            <v>0</v>
          </cell>
          <cell r="F60">
            <v>0</v>
          </cell>
          <cell r="O60">
            <v>0</v>
          </cell>
          <cell r="P60">
            <v>0</v>
          </cell>
          <cell r="Q60">
            <v>0</v>
          </cell>
          <cell r="R60">
            <v>0</v>
          </cell>
          <cell r="S60">
            <v>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Matriz de Criterios"/>
      <sheetName val="Listas-Input"/>
      <sheetName val="Parámetros"/>
      <sheetName val="Matriz de riesgos"/>
      <sheetName val="Matriz seguimiento (1)"/>
      <sheetName val="Matriz seguimiento (2)"/>
      <sheetName val="Matriz seguimiento (3)"/>
    </sheetNames>
    <sheetDataSet>
      <sheetData sheetId="0" refreshError="1"/>
      <sheetData sheetId="1" refreshError="1"/>
      <sheetData sheetId="2" refreshError="1"/>
      <sheetData sheetId="3" refreshError="1"/>
      <sheetData sheetId="4" refreshError="1">
        <row r="20">
          <cell r="B20">
            <v>25</v>
          </cell>
          <cell r="C20" t="str">
            <v>EXTREMO (+)</v>
          </cell>
        </row>
        <row r="21">
          <cell r="B21">
            <v>24</v>
          </cell>
          <cell r="C21" t="str">
            <v>EXTREMO (+)</v>
          </cell>
        </row>
        <row r="22">
          <cell r="B22">
            <v>23</v>
          </cell>
          <cell r="C22" t="str">
            <v>EXTREMO (+)</v>
          </cell>
        </row>
        <row r="23">
          <cell r="B23">
            <v>22</v>
          </cell>
          <cell r="C23" t="str">
            <v>EXTREMO (+)</v>
          </cell>
        </row>
        <row r="24">
          <cell r="B24">
            <v>21</v>
          </cell>
          <cell r="C24" t="str">
            <v>EXTREMO (+)</v>
          </cell>
        </row>
        <row r="25">
          <cell r="B25">
            <v>20</v>
          </cell>
          <cell r="C25" t="str">
            <v>EXTREMO (+)</v>
          </cell>
        </row>
        <row r="26">
          <cell r="B26">
            <v>19</v>
          </cell>
          <cell r="C26" t="str">
            <v>EXTREMO (+)</v>
          </cell>
        </row>
        <row r="27">
          <cell r="B27">
            <v>18</v>
          </cell>
          <cell r="C27" t="str">
            <v>EXTREMO (+)</v>
          </cell>
        </row>
        <row r="28">
          <cell r="B28">
            <v>17</v>
          </cell>
          <cell r="C28" t="str">
            <v>EXTREMO (+)</v>
          </cell>
        </row>
        <row r="29">
          <cell r="B29">
            <v>16</v>
          </cell>
          <cell r="C29" t="str">
            <v>ALTO (+)</v>
          </cell>
        </row>
        <row r="30">
          <cell r="B30">
            <v>15</v>
          </cell>
          <cell r="C30" t="str">
            <v>ALTO (+)</v>
          </cell>
        </row>
        <row r="31">
          <cell r="B31">
            <v>14</v>
          </cell>
          <cell r="C31" t="str">
            <v>ALTO (+)</v>
          </cell>
        </row>
        <row r="32">
          <cell r="B32">
            <v>13</v>
          </cell>
          <cell r="C32" t="str">
            <v>ALTO (+)</v>
          </cell>
        </row>
        <row r="33">
          <cell r="B33">
            <v>12</v>
          </cell>
          <cell r="C33" t="str">
            <v>ALTO (+)</v>
          </cell>
        </row>
        <row r="34">
          <cell r="B34">
            <v>11</v>
          </cell>
          <cell r="C34" t="str">
            <v>ALTO (+)</v>
          </cell>
        </row>
        <row r="35">
          <cell r="B35">
            <v>10</v>
          </cell>
          <cell r="C35" t="str">
            <v>MODERADO (+)</v>
          </cell>
        </row>
        <row r="36">
          <cell r="B36">
            <v>9</v>
          </cell>
          <cell r="C36" t="str">
            <v>MODERADO (+)</v>
          </cell>
        </row>
        <row r="37">
          <cell r="B37">
            <v>8</v>
          </cell>
          <cell r="C37" t="str">
            <v>MODERADO (+)</v>
          </cell>
        </row>
        <row r="38">
          <cell r="B38">
            <v>7</v>
          </cell>
          <cell r="C38" t="str">
            <v>MODERADO (+)</v>
          </cell>
        </row>
        <row r="39">
          <cell r="B39">
            <v>6</v>
          </cell>
          <cell r="C39" t="str">
            <v>MODERADO (+)</v>
          </cell>
        </row>
        <row r="40">
          <cell r="B40">
            <v>5</v>
          </cell>
          <cell r="C40" t="str">
            <v>MODERADO (+)</v>
          </cell>
        </row>
        <row r="41">
          <cell r="B41">
            <v>4</v>
          </cell>
          <cell r="C41" t="str">
            <v>BAJO (+)</v>
          </cell>
        </row>
        <row r="42">
          <cell r="B42">
            <v>3</v>
          </cell>
          <cell r="C42" t="str">
            <v>BAJO (+)</v>
          </cell>
        </row>
        <row r="43">
          <cell r="B43">
            <v>2</v>
          </cell>
          <cell r="C43" t="str">
            <v>BAJO (+)</v>
          </cell>
        </row>
        <row r="44">
          <cell r="B44">
            <v>1</v>
          </cell>
          <cell r="C44" t="str">
            <v>BAJO (+)</v>
          </cell>
        </row>
        <row r="45">
          <cell r="B45">
            <v>0</v>
          </cell>
          <cell r="C45" t="str">
            <v>NO APLCIA</v>
          </cell>
        </row>
        <row r="46">
          <cell r="B46">
            <v>-1</v>
          </cell>
          <cell r="C46" t="str">
            <v xml:space="preserve">BAJO </v>
          </cell>
        </row>
        <row r="47">
          <cell r="B47">
            <v>-2</v>
          </cell>
          <cell r="C47" t="str">
            <v xml:space="preserve">BAJO </v>
          </cell>
        </row>
        <row r="48">
          <cell r="B48">
            <v>-3</v>
          </cell>
          <cell r="C48" t="str">
            <v xml:space="preserve">BAJO </v>
          </cell>
        </row>
        <row r="49">
          <cell r="B49">
            <v>-4</v>
          </cell>
          <cell r="C49" t="str">
            <v xml:space="preserve">BAJO </v>
          </cell>
        </row>
        <row r="50">
          <cell r="B50">
            <v>-5</v>
          </cell>
          <cell r="C50" t="str">
            <v xml:space="preserve">BAJO </v>
          </cell>
        </row>
        <row r="51">
          <cell r="B51">
            <v>-6</v>
          </cell>
          <cell r="C51" t="str">
            <v xml:space="preserve">MODERADO </v>
          </cell>
        </row>
        <row r="52">
          <cell r="B52">
            <v>-7</v>
          </cell>
          <cell r="C52" t="str">
            <v xml:space="preserve">MODERADO </v>
          </cell>
        </row>
        <row r="53">
          <cell r="B53">
            <v>-8</v>
          </cell>
          <cell r="C53" t="str">
            <v xml:space="preserve">MODERADO </v>
          </cell>
        </row>
        <row r="54">
          <cell r="B54">
            <v>-9</v>
          </cell>
          <cell r="C54" t="str">
            <v xml:space="preserve">MODERADO </v>
          </cell>
        </row>
        <row r="55">
          <cell r="B55">
            <v>-10</v>
          </cell>
          <cell r="C55" t="str">
            <v xml:space="preserve">MODERADO </v>
          </cell>
        </row>
        <row r="56">
          <cell r="B56">
            <v>-11</v>
          </cell>
          <cell r="C56" t="str">
            <v>ALTO</v>
          </cell>
        </row>
        <row r="57">
          <cell r="B57">
            <v>-12</v>
          </cell>
          <cell r="C57" t="str">
            <v>ALTO</v>
          </cell>
        </row>
        <row r="58">
          <cell r="B58">
            <v>-13</v>
          </cell>
          <cell r="C58" t="str">
            <v>ALTO</v>
          </cell>
        </row>
        <row r="59">
          <cell r="B59">
            <v>-14</v>
          </cell>
          <cell r="C59" t="str">
            <v>ALTO</v>
          </cell>
        </row>
        <row r="60">
          <cell r="B60">
            <v>-15</v>
          </cell>
          <cell r="C60" t="str">
            <v>ALTO</v>
          </cell>
        </row>
        <row r="61">
          <cell r="B61">
            <v>-16</v>
          </cell>
          <cell r="C61" t="str">
            <v>ALTO</v>
          </cell>
        </row>
        <row r="62">
          <cell r="B62">
            <v>-17</v>
          </cell>
          <cell r="C62" t="str">
            <v>EXTREMO</v>
          </cell>
        </row>
        <row r="63">
          <cell r="B63">
            <v>-18</v>
          </cell>
          <cell r="C63" t="str">
            <v>EXTREMO</v>
          </cell>
        </row>
        <row r="64">
          <cell r="B64">
            <v>-19</v>
          </cell>
          <cell r="C64" t="str">
            <v>EXTREMO</v>
          </cell>
        </row>
        <row r="65">
          <cell r="B65">
            <v>-20</v>
          </cell>
          <cell r="C65" t="str">
            <v>EXTREMO</v>
          </cell>
        </row>
        <row r="66">
          <cell r="B66">
            <v>-21</v>
          </cell>
          <cell r="C66" t="str">
            <v>EXTREMO</v>
          </cell>
        </row>
        <row r="67">
          <cell r="B67">
            <v>-22</v>
          </cell>
          <cell r="C67" t="str">
            <v>EXTREMO</v>
          </cell>
        </row>
        <row r="68">
          <cell r="B68">
            <v>-23</v>
          </cell>
          <cell r="C68" t="str">
            <v>EXTREMO</v>
          </cell>
        </row>
        <row r="69">
          <cell r="B69">
            <v>-24</v>
          </cell>
          <cell r="C69" t="str">
            <v>EXTREMO</v>
          </cell>
        </row>
        <row r="70">
          <cell r="B70">
            <v>-25</v>
          </cell>
          <cell r="C70" t="str">
            <v>EXTREMO</v>
          </cell>
        </row>
      </sheetData>
      <sheetData sheetId="5" refreshError="1"/>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Alexandra Tirado Rey" id="{4AA93187-537E-49C5-8B53-2FF323B4DC0B}" userId="S::atirado@geb.com.co::ee9ccc9a-4176-40e5-a6cf-a846853878b9" providerId="AD"/>
  <person displayName="Jaime Mauricio Becerra Naranjo" id="{ABD3F458-4F5F-411D-BC0D-EA4F948C6DA0}" userId="S::jbecerran@tgi.com.co::0acb11f1-5b4b-44fd-8bc1-7a5f4328ba9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13" dT="2024-01-22T15:26:55.19" personId="{4AA93187-537E-49C5-8B53-2FF323B4DC0B}" id="{698A7D58-AD6B-47B1-A5F8-FAD47B94ED40}">
    <text>Este riesgo residual no varia con el tratamiento aplicado?</text>
  </threadedComment>
  <threadedComment ref="AA13" dT="2024-01-23T19:48:14.34" personId="{ABD3F458-4F5F-411D-BC0D-EA4F948C6DA0}" id="{F364381C-A2BE-4972-996B-62A39CE094C8}" parentId="{698A7D58-AD6B-47B1-A5F8-FAD47B94ED40}">
    <text>Se corrige probabilidad de ocurrencia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8" tint="-0.249977111117893"/>
  </sheetPr>
  <dimension ref="A1:BS198"/>
  <sheetViews>
    <sheetView showGridLines="0" topLeftCell="A147" zoomScaleNormal="100" workbookViewId="0">
      <selection activeCell="A130" sqref="A130:XFD130"/>
    </sheetView>
  </sheetViews>
  <sheetFormatPr baseColWidth="10" defaultColWidth="0" defaultRowHeight="15" customHeight="1" zeroHeight="1" x14ac:dyDescent="0.35"/>
  <cols>
    <col min="1" max="1" width="1.58203125" style="1" customWidth="1"/>
    <col min="2" max="5" width="5.83203125" style="1" customWidth="1"/>
    <col min="6" max="6" width="5" style="1" customWidth="1"/>
    <col min="7" max="7" width="7.83203125" style="1" customWidth="1"/>
    <col min="8" max="8" width="6.5" style="1" customWidth="1"/>
    <col min="9" max="9" width="7.33203125" style="1" customWidth="1"/>
    <col min="10" max="10" width="6" style="1" customWidth="1"/>
    <col min="11" max="23" width="5" style="1" customWidth="1"/>
    <col min="24" max="24" width="5.25" style="1" customWidth="1"/>
    <col min="25" max="25" width="5" style="1" customWidth="1"/>
    <col min="26" max="26" width="5.83203125" style="1" customWidth="1"/>
    <col min="27" max="71" width="5.83203125" style="1" hidden="1" customWidth="1"/>
    <col min="72" max="16384" width="10" style="1" hidden="1"/>
  </cols>
  <sheetData>
    <row r="1" spans="2:25" ht="14.5" x14ac:dyDescent="0.35">
      <c r="B1" s="378"/>
      <c r="C1" s="379"/>
      <c r="D1" s="379"/>
      <c r="E1" s="380"/>
      <c r="F1" s="387" t="s">
        <v>0</v>
      </c>
      <c r="G1" s="388"/>
      <c r="H1" s="388"/>
      <c r="I1" s="388"/>
      <c r="J1" s="388"/>
      <c r="K1" s="388"/>
      <c r="L1" s="388"/>
      <c r="M1" s="388"/>
      <c r="N1" s="388"/>
      <c r="O1" s="388"/>
      <c r="P1" s="388"/>
      <c r="Q1" s="388"/>
      <c r="R1" s="388"/>
      <c r="S1" s="388"/>
      <c r="T1" s="388"/>
      <c r="U1" s="388"/>
      <c r="V1" s="388"/>
      <c r="W1" s="388"/>
      <c r="X1" s="388"/>
      <c r="Y1" s="389"/>
    </row>
    <row r="2" spans="2:25" ht="14.5" x14ac:dyDescent="0.35">
      <c r="B2" s="381"/>
      <c r="C2" s="382"/>
      <c r="D2" s="382"/>
      <c r="E2" s="383"/>
      <c r="F2" s="390"/>
      <c r="G2" s="390"/>
      <c r="H2" s="390"/>
      <c r="I2" s="390"/>
      <c r="J2" s="390"/>
      <c r="K2" s="390"/>
      <c r="L2" s="390"/>
      <c r="M2" s="390"/>
      <c r="N2" s="390"/>
      <c r="O2" s="390"/>
      <c r="P2" s="390"/>
      <c r="Q2" s="390"/>
      <c r="R2" s="390"/>
      <c r="S2" s="390"/>
      <c r="T2" s="390"/>
      <c r="U2" s="390"/>
      <c r="V2" s="390"/>
      <c r="W2" s="390"/>
      <c r="X2" s="390"/>
      <c r="Y2" s="391"/>
    </row>
    <row r="3" spans="2:25" ht="14.5" x14ac:dyDescent="0.35">
      <c r="B3" s="381"/>
      <c r="C3" s="382"/>
      <c r="D3" s="382"/>
      <c r="E3" s="383"/>
      <c r="F3" s="390"/>
      <c r="G3" s="390"/>
      <c r="H3" s="390"/>
      <c r="I3" s="390"/>
      <c r="J3" s="390"/>
      <c r="K3" s="390"/>
      <c r="L3" s="390"/>
      <c r="M3" s="390"/>
      <c r="N3" s="390"/>
      <c r="O3" s="390"/>
      <c r="P3" s="390"/>
      <c r="Q3" s="390"/>
      <c r="R3" s="390"/>
      <c r="S3" s="390"/>
      <c r="T3" s="390"/>
      <c r="U3" s="390"/>
      <c r="V3" s="390"/>
      <c r="W3" s="390"/>
      <c r="X3" s="390"/>
      <c r="Y3" s="391"/>
    </row>
    <row r="4" spans="2:25" ht="14.5" x14ac:dyDescent="0.35">
      <c r="B4" s="381"/>
      <c r="C4" s="382"/>
      <c r="D4" s="382"/>
      <c r="E4" s="383"/>
      <c r="F4" s="390"/>
      <c r="G4" s="390"/>
      <c r="H4" s="390"/>
      <c r="I4" s="390"/>
      <c r="J4" s="390"/>
      <c r="K4" s="390"/>
      <c r="L4" s="390"/>
      <c r="M4" s="390"/>
      <c r="N4" s="390"/>
      <c r="O4" s="390"/>
      <c r="P4" s="390"/>
      <c r="Q4" s="390"/>
      <c r="R4" s="390"/>
      <c r="S4" s="390"/>
      <c r="T4" s="390"/>
      <c r="U4" s="390"/>
      <c r="V4" s="390"/>
      <c r="W4" s="390"/>
      <c r="X4" s="390"/>
      <c r="Y4" s="391"/>
    </row>
    <row r="5" spans="2:25" thickBot="1" x14ac:dyDescent="0.4">
      <c r="B5" s="384"/>
      <c r="C5" s="385"/>
      <c r="D5" s="385"/>
      <c r="E5" s="386"/>
      <c r="F5" s="392"/>
      <c r="G5" s="392"/>
      <c r="H5" s="392"/>
      <c r="I5" s="392"/>
      <c r="J5" s="392"/>
      <c r="K5" s="392"/>
      <c r="L5" s="392"/>
      <c r="M5" s="392"/>
      <c r="N5" s="392"/>
      <c r="O5" s="392"/>
      <c r="P5" s="392"/>
      <c r="Q5" s="392"/>
      <c r="R5" s="392"/>
      <c r="S5" s="392"/>
      <c r="T5" s="392"/>
      <c r="U5" s="392"/>
      <c r="V5" s="392"/>
      <c r="W5" s="392"/>
      <c r="X5" s="392"/>
      <c r="Y5" s="393"/>
    </row>
    <row r="6" spans="2:25" ht="9.75" customHeight="1" x14ac:dyDescent="0.35"/>
    <row r="7" spans="2:25" ht="14.5" x14ac:dyDescent="0.35">
      <c r="B7" s="394" t="s">
        <v>1</v>
      </c>
      <c r="C7" s="395"/>
      <c r="D7" s="395"/>
      <c r="E7" s="395"/>
      <c r="F7" s="395"/>
      <c r="G7" s="395"/>
      <c r="H7" s="395"/>
      <c r="I7" s="395"/>
      <c r="J7" s="395"/>
      <c r="K7" s="395"/>
      <c r="L7" s="395"/>
      <c r="M7" s="395"/>
      <c r="N7" s="395"/>
      <c r="O7" s="395"/>
      <c r="P7" s="395"/>
      <c r="Q7" s="395"/>
      <c r="R7" s="395"/>
      <c r="S7" s="395"/>
      <c r="T7" s="395"/>
      <c r="U7" s="395"/>
      <c r="V7" s="395"/>
      <c r="W7" s="395"/>
      <c r="X7" s="395"/>
      <c r="Y7" s="396"/>
    </row>
    <row r="8" spans="2:25" ht="10.5" customHeight="1" x14ac:dyDescent="0.35"/>
    <row r="9" spans="2:25" ht="25.5" customHeight="1" x14ac:dyDescent="0.35">
      <c r="B9" s="397" t="s">
        <v>2</v>
      </c>
      <c r="C9" s="397"/>
      <c r="D9" s="397"/>
      <c r="E9" s="397"/>
      <c r="F9" s="397" t="s">
        <v>3</v>
      </c>
      <c r="G9" s="397"/>
      <c r="H9" s="397"/>
      <c r="I9" s="397"/>
      <c r="J9" s="397"/>
      <c r="K9" s="397"/>
      <c r="L9" s="397"/>
      <c r="M9" s="397"/>
      <c r="N9" s="397"/>
      <c r="O9" s="397"/>
      <c r="P9" s="397"/>
      <c r="Q9" s="397"/>
      <c r="R9" s="397"/>
      <c r="S9" s="397"/>
      <c r="T9" s="397"/>
      <c r="U9" s="397"/>
      <c r="V9" s="397"/>
      <c r="W9" s="397"/>
      <c r="X9" s="397"/>
      <c r="Y9" s="397"/>
    </row>
    <row r="10" spans="2:25" ht="30.75" customHeight="1" x14ac:dyDescent="0.35">
      <c r="B10" s="398"/>
      <c r="C10" s="399"/>
      <c r="D10" s="399"/>
      <c r="E10" s="399"/>
      <c r="F10" s="399"/>
      <c r="G10" s="399"/>
      <c r="H10" s="399"/>
      <c r="I10" s="399"/>
      <c r="J10" s="399"/>
      <c r="K10" s="399"/>
      <c r="L10" s="399"/>
      <c r="M10" s="399"/>
      <c r="N10" s="399"/>
      <c r="O10" s="399"/>
      <c r="P10" s="399"/>
      <c r="Q10" s="399"/>
      <c r="R10" s="399"/>
      <c r="S10" s="399"/>
      <c r="T10" s="399"/>
      <c r="U10" s="399"/>
      <c r="V10" s="399"/>
      <c r="W10" s="399"/>
      <c r="X10" s="399"/>
      <c r="Y10" s="400"/>
    </row>
    <row r="11" spans="2:25" ht="206.25" customHeight="1" x14ac:dyDescent="0.35">
      <c r="B11" s="242" t="s">
        <v>4</v>
      </c>
      <c r="C11" s="242"/>
      <c r="D11" s="242"/>
      <c r="E11" s="242"/>
      <c r="F11" s="243" t="s">
        <v>5</v>
      </c>
      <c r="G11" s="243"/>
      <c r="H11" s="243"/>
      <c r="I11" s="243"/>
      <c r="J11" s="243"/>
      <c r="K11" s="243"/>
      <c r="L11" s="243"/>
      <c r="M11" s="243"/>
      <c r="N11" s="243"/>
      <c r="O11" s="243"/>
      <c r="P11" s="243"/>
      <c r="Q11" s="243"/>
      <c r="R11" s="243"/>
      <c r="S11" s="243"/>
      <c r="T11" s="243"/>
      <c r="U11" s="243"/>
      <c r="V11" s="243"/>
      <c r="W11" s="243"/>
      <c r="X11" s="243"/>
      <c r="Y11" s="243"/>
    </row>
    <row r="12" spans="2:25" ht="85.5" customHeight="1" x14ac:dyDescent="0.35">
      <c r="B12" s="242" t="s">
        <v>6</v>
      </c>
      <c r="C12" s="242"/>
      <c r="D12" s="242"/>
      <c r="E12" s="242"/>
      <c r="F12" s="243" t="s">
        <v>7</v>
      </c>
      <c r="G12" s="243"/>
      <c r="H12" s="243"/>
      <c r="I12" s="243"/>
      <c r="J12" s="243"/>
      <c r="K12" s="243"/>
      <c r="L12" s="243"/>
      <c r="M12" s="243"/>
      <c r="N12" s="243"/>
      <c r="O12" s="243"/>
      <c r="P12" s="243"/>
      <c r="Q12" s="243"/>
      <c r="R12" s="243"/>
      <c r="S12" s="243"/>
      <c r="T12" s="243"/>
      <c r="U12" s="243"/>
      <c r="V12" s="243"/>
      <c r="W12" s="243"/>
      <c r="X12" s="243"/>
      <c r="Y12" s="243"/>
    </row>
    <row r="13" spans="2:25" ht="68.25" customHeight="1" x14ac:dyDescent="0.35">
      <c r="B13" s="242" t="s">
        <v>8</v>
      </c>
      <c r="C13" s="242"/>
      <c r="D13" s="242"/>
      <c r="E13" s="242"/>
      <c r="F13" s="243" t="s">
        <v>9</v>
      </c>
      <c r="G13" s="243"/>
      <c r="H13" s="243"/>
      <c r="I13" s="243"/>
      <c r="J13" s="243"/>
      <c r="K13" s="243"/>
      <c r="L13" s="243"/>
      <c r="M13" s="243"/>
      <c r="N13" s="243"/>
      <c r="O13" s="243"/>
      <c r="P13" s="243"/>
      <c r="Q13" s="243"/>
      <c r="R13" s="243"/>
      <c r="S13" s="243"/>
      <c r="T13" s="243"/>
      <c r="U13" s="243"/>
      <c r="V13" s="243"/>
      <c r="W13" s="243"/>
      <c r="X13" s="243"/>
      <c r="Y13" s="243"/>
    </row>
    <row r="14" spans="2:25" ht="18.75" customHeight="1" x14ac:dyDescent="0.35">
      <c r="B14" s="339" t="s">
        <v>709</v>
      </c>
      <c r="C14" s="340"/>
      <c r="D14" s="340"/>
      <c r="E14" s="341"/>
      <c r="F14" s="345" t="s">
        <v>707</v>
      </c>
      <c r="G14" s="346"/>
      <c r="H14" s="346"/>
      <c r="I14" s="346"/>
      <c r="J14" s="346"/>
      <c r="K14" s="346"/>
      <c r="L14" s="346"/>
      <c r="M14" s="346"/>
      <c r="N14" s="346"/>
      <c r="O14" s="346"/>
      <c r="P14" s="346"/>
      <c r="Q14" s="346"/>
      <c r="R14" s="346"/>
      <c r="S14" s="346"/>
      <c r="T14" s="346"/>
      <c r="U14" s="346"/>
      <c r="V14" s="346"/>
      <c r="W14" s="346"/>
      <c r="X14" s="346"/>
      <c r="Y14" s="347"/>
    </row>
    <row r="15" spans="2:25" ht="15.75" customHeight="1" x14ac:dyDescent="0.35">
      <c r="B15" s="342"/>
      <c r="C15" s="343"/>
      <c r="D15" s="343"/>
      <c r="E15" s="344"/>
      <c r="F15" s="348"/>
      <c r="G15" s="349"/>
      <c r="H15" s="349"/>
      <c r="I15" s="349"/>
      <c r="J15" s="349"/>
      <c r="K15" s="349"/>
      <c r="L15" s="349"/>
      <c r="M15" s="349"/>
      <c r="N15" s="349"/>
      <c r="O15" s="349"/>
      <c r="P15" s="349"/>
      <c r="Q15" s="349"/>
      <c r="R15" s="349"/>
      <c r="S15" s="349"/>
      <c r="T15" s="349"/>
      <c r="U15" s="349"/>
      <c r="V15" s="349"/>
      <c r="W15" s="349"/>
      <c r="X15" s="349"/>
      <c r="Y15" s="350"/>
    </row>
    <row r="16" spans="2:25" ht="21" customHeight="1" x14ac:dyDescent="0.35">
      <c r="B16" s="342"/>
      <c r="C16" s="343"/>
      <c r="D16" s="343"/>
      <c r="E16" s="344"/>
      <c r="F16" s="348"/>
      <c r="G16" s="349"/>
      <c r="H16" s="349"/>
      <c r="I16" s="349"/>
      <c r="J16" s="349"/>
      <c r="K16" s="349"/>
      <c r="L16" s="349"/>
      <c r="M16" s="349"/>
      <c r="N16" s="349"/>
      <c r="O16" s="349"/>
      <c r="P16" s="349"/>
      <c r="Q16" s="349"/>
      <c r="R16" s="349"/>
      <c r="S16" s="349"/>
      <c r="T16" s="349"/>
      <c r="U16" s="349"/>
      <c r="V16" s="349"/>
      <c r="W16" s="349"/>
      <c r="X16" s="349"/>
      <c r="Y16" s="350"/>
    </row>
    <row r="17" spans="2:25" ht="25.5" customHeight="1" x14ac:dyDescent="0.35">
      <c r="B17" s="342"/>
      <c r="C17" s="343"/>
      <c r="D17" s="343"/>
      <c r="E17" s="344"/>
      <c r="F17" s="348"/>
      <c r="G17" s="349"/>
      <c r="H17" s="349"/>
      <c r="I17" s="349"/>
      <c r="J17" s="349"/>
      <c r="K17" s="349"/>
      <c r="L17" s="349"/>
      <c r="M17" s="349"/>
      <c r="N17" s="349"/>
      <c r="O17" s="349"/>
      <c r="P17" s="349"/>
      <c r="Q17" s="349"/>
      <c r="R17" s="349"/>
      <c r="S17" s="349"/>
      <c r="T17" s="349"/>
      <c r="U17" s="349"/>
      <c r="V17" s="349"/>
      <c r="W17" s="349"/>
      <c r="X17" s="349"/>
      <c r="Y17" s="350"/>
    </row>
    <row r="18" spans="2:25" ht="25.5" customHeight="1" x14ac:dyDescent="0.35">
      <c r="B18" s="342"/>
      <c r="C18" s="343"/>
      <c r="D18" s="343"/>
      <c r="E18" s="344"/>
      <c r="F18" s="348"/>
      <c r="G18" s="349"/>
      <c r="H18" s="349"/>
      <c r="I18" s="349"/>
      <c r="J18" s="349"/>
      <c r="K18" s="349"/>
      <c r="L18" s="349"/>
      <c r="M18" s="349"/>
      <c r="N18" s="349"/>
      <c r="O18" s="349"/>
      <c r="P18" s="349"/>
      <c r="Q18" s="349"/>
      <c r="R18" s="349"/>
      <c r="S18" s="349"/>
      <c r="T18" s="349"/>
      <c r="U18" s="349"/>
      <c r="V18" s="349"/>
      <c r="W18" s="349"/>
      <c r="X18" s="349"/>
      <c r="Y18" s="350"/>
    </row>
    <row r="19" spans="2:25" ht="43.5" customHeight="1" x14ac:dyDescent="0.35">
      <c r="B19" s="342"/>
      <c r="C19" s="343"/>
      <c r="D19" s="343"/>
      <c r="E19" s="344"/>
      <c r="F19" s="348"/>
      <c r="G19" s="349"/>
      <c r="H19" s="349"/>
      <c r="I19" s="349"/>
      <c r="J19" s="349"/>
      <c r="K19" s="349"/>
      <c r="L19" s="349"/>
      <c r="M19" s="349"/>
      <c r="N19" s="349"/>
      <c r="O19" s="349"/>
      <c r="P19" s="349"/>
      <c r="Q19" s="349"/>
      <c r="R19" s="349"/>
      <c r="S19" s="349"/>
      <c r="T19" s="349"/>
      <c r="U19" s="349"/>
      <c r="V19" s="349"/>
      <c r="W19" s="349"/>
      <c r="X19" s="349"/>
      <c r="Y19" s="350"/>
    </row>
    <row r="20" spans="2:25" ht="18" customHeight="1" x14ac:dyDescent="0.35">
      <c r="B20" s="342"/>
      <c r="C20" s="343"/>
      <c r="D20" s="343"/>
      <c r="E20" s="344"/>
      <c r="F20" s="2"/>
      <c r="H20" s="3" t="s">
        <v>710</v>
      </c>
      <c r="Y20" s="4"/>
    </row>
    <row r="21" spans="2:25" ht="21.75" customHeight="1" x14ac:dyDescent="0.35">
      <c r="B21" s="342"/>
      <c r="C21" s="343"/>
      <c r="D21" s="343"/>
      <c r="E21" s="344"/>
      <c r="F21" s="5"/>
      <c r="G21" s="6"/>
      <c r="H21" s="351" t="s">
        <v>10</v>
      </c>
      <c r="I21" s="352"/>
      <c r="J21" s="351" t="s">
        <v>11</v>
      </c>
      <c r="K21" s="353"/>
      <c r="L21" s="322" t="s">
        <v>12</v>
      </c>
      <c r="M21" s="322"/>
      <c r="N21" s="322"/>
      <c r="O21" s="322"/>
      <c r="P21" s="322"/>
      <c r="Q21" s="322"/>
      <c r="R21" s="322"/>
      <c r="S21" s="322"/>
      <c r="T21" s="322"/>
      <c r="U21" s="322"/>
      <c r="V21" s="322"/>
      <c r="W21" s="322"/>
      <c r="X21" s="354"/>
      <c r="Y21" s="355"/>
    </row>
    <row r="22" spans="2:25" ht="21.75" customHeight="1" x14ac:dyDescent="0.35">
      <c r="B22" s="342"/>
      <c r="C22" s="343"/>
      <c r="D22" s="343"/>
      <c r="E22" s="344"/>
      <c r="F22" s="5"/>
      <c r="G22" s="6"/>
      <c r="H22" s="351">
        <v>5</v>
      </c>
      <c r="I22" s="352"/>
      <c r="J22" s="356" t="s">
        <v>13</v>
      </c>
      <c r="K22" s="357"/>
      <c r="L22" s="358" t="s">
        <v>14</v>
      </c>
      <c r="M22" s="358"/>
      <c r="N22" s="358"/>
      <c r="O22" s="358"/>
      <c r="P22" s="358"/>
      <c r="Q22" s="358"/>
      <c r="R22" s="358"/>
      <c r="S22" s="358"/>
      <c r="T22" s="358"/>
      <c r="U22" s="358"/>
      <c r="V22" s="358"/>
      <c r="W22" s="358"/>
      <c r="X22" s="354"/>
      <c r="Y22" s="355"/>
    </row>
    <row r="23" spans="2:25" ht="21.75" customHeight="1" x14ac:dyDescent="0.35">
      <c r="B23" s="342"/>
      <c r="C23" s="343"/>
      <c r="D23" s="343"/>
      <c r="E23" s="344"/>
      <c r="F23" s="5"/>
      <c r="G23" s="6"/>
      <c r="H23" s="351">
        <v>4</v>
      </c>
      <c r="I23" s="352"/>
      <c r="J23" s="356" t="s">
        <v>15</v>
      </c>
      <c r="K23" s="357"/>
      <c r="L23" s="358" t="s">
        <v>16</v>
      </c>
      <c r="M23" s="358"/>
      <c r="N23" s="358"/>
      <c r="O23" s="358"/>
      <c r="P23" s="358"/>
      <c r="Q23" s="358"/>
      <c r="R23" s="358"/>
      <c r="S23" s="358"/>
      <c r="T23" s="358"/>
      <c r="U23" s="358"/>
      <c r="V23" s="358"/>
      <c r="W23" s="358"/>
      <c r="X23" s="354"/>
      <c r="Y23" s="355"/>
    </row>
    <row r="24" spans="2:25" ht="21.75" customHeight="1" x14ac:dyDescent="0.35">
      <c r="B24" s="342"/>
      <c r="C24" s="343"/>
      <c r="D24" s="343"/>
      <c r="E24" s="344"/>
      <c r="F24" s="5"/>
      <c r="G24" s="6"/>
      <c r="H24" s="351">
        <v>3</v>
      </c>
      <c r="I24" s="352"/>
      <c r="J24" s="356" t="s">
        <v>17</v>
      </c>
      <c r="K24" s="357"/>
      <c r="L24" s="358" t="s">
        <v>18</v>
      </c>
      <c r="M24" s="358"/>
      <c r="N24" s="358"/>
      <c r="O24" s="358"/>
      <c r="P24" s="358"/>
      <c r="Q24" s="358"/>
      <c r="R24" s="358"/>
      <c r="S24" s="358"/>
      <c r="T24" s="358"/>
      <c r="U24" s="358"/>
      <c r="V24" s="358"/>
      <c r="W24" s="358"/>
      <c r="X24" s="354"/>
      <c r="Y24" s="355"/>
    </row>
    <row r="25" spans="2:25" ht="21.75" customHeight="1" x14ac:dyDescent="0.35">
      <c r="B25" s="342"/>
      <c r="C25" s="343"/>
      <c r="D25" s="343"/>
      <c r="E25" s="344"/>
      <c r="F25" s="5"/>
      <c r="G25" s="6"/>
      <c r="H25" s="351">
        <v>2</v>
      </c>
      <c r="I25" s="352"/>
      <c r="J25" s="356" t="s">
        <v>19</v>
      </c>
      <c r="K25" s="357"/>
      <c r="L25" s="358" t="s">
        <v>20</v>
      </c>
      <c r="M25" s="358"/>
      <c r="N25" s="358"/>
      <c r="O25" s="358"/>
      <c r="P25" s="358"/>
      <c r="Q25" s="358"/>
      <c r="R25" s="358"/>
      <c r="S25" s="358"/>
      <c r="T25" s="358"/>
      <c r="U25" s="358"/>
      <c r="V25" s="358"/>
      <c r="W25" s="358"/>
      <c r="X25" s="354"/>
      <c r="Y25" s="355"/>
    </row>
    <row r="26" spans="2:25" ht="21.75" customHeight="1" x14ac:dyDescent="0.35">
      <c r="B26" s="342"/>
      <c r="C26" s="343"/>
      <c r="D26" s="343"/>
      <c r="E26" s="344"/>
      <c r="F26" s="5"/>
      <c r="G26" s="6"/>
      <c r="H26" s="351">
        <v>1</v>
      </c>
      <c r="I26" s="352"/>
      <c r="J26" s="356" t="s">
        <v>21</v>
      </c>
      <c r="K26" s="357"/>
      <c r="L26" s="358" t="s">
        <v>22</v>
      </c>
      <c r="M26" s="358"/>
      <c r="N26" s="358"/>
      <c r="O26" s="358"/>
      <c r="P26" s="358"/>
      <c r="Q26" s="358"/>
      <c r="R26" s="358"/>
      <c r="S26" s="358"/>
      <c r="T26" s="358"/>
      <c r="U26" s="358"/>
      <c r="V26" s="358"/>
      <c r="W26" s="358"/>
      <c r="X26" s="354"/>
      <c r="Y26" s="355"/>
    </row>
    <row r="27" spans="2:25" ht="12.75" customHeight="1" x14ac:dyDescent="0.35">
      <c r="B27" s="342"/>
      <c r="C27" s="343"/>
      <c r="D27" s="343"/>
      <c r="E27" s="344"/>
      <c r="F27" s="5"/>
      <c r="G27" s="7"/>
      <c r="H27" s="7"/>
      <c r="I27" s="7"/>
      <c r="J27" s="7"/>
      <c r="K27" s="7"/>
      <c r="L27" s="7"/>
      <c r="M27" s="7"/>
      <c r="N27" s="7"/>
      <c r="O27" s="7"/>
      <c r="P27" s="7"/>
      <c r="Q27" s="7"/>
      <c r="R27" s="7"/>
      <c r="S27" s="7"/>
      <c r="T27" s="7"/>
      <c r="U27" s="7"/>
      <c r="V27" s="7"/>
      <c r="W27" s="7"/>
      <c r="X27" s="7"/>
      <c r="Y27" s="6"/>
    </row>
    <row r="28" spans="2:25" ht="29.25" customHeight="1" x14ac:dyDescent="0.35">
      <c r="B28" s="342"/>
      <c r="C28" s="343"/>
      <c r="D28" s="343"/>
      <c r="E28" s="344"/>
      <c r="F28" s="345" t="s">
        <v>711</v>
      </c>
      <c r="G28" s="346"/>
      <c r="H28" s="346"/>
      <c r="I28" s="346"/>
      <c r="J28" s="346"/>
      <c r="K28" s="346"/>
      <c r="L28" s="346"/>
      <c r="M28" s="346"/>
      <c r="N28" s="346"/>
      <c r="O28" s="346"/>
      <c r="P28" s="346"/>
      <c r="Q28" s="346"/>
      <c r="R28" s="346"/>
      <c r="S28" s="346"/>
      <c r="T28" s="346"/>
      <c r="U28" s="346"/>
      <c r="V28" s="346"/>
      <c r="W28" s="346"/>
      <c r="X28" s="346"/>
      <c r="Y28" s="347"/>
    </row>
    <row r="29" spans="2:25" ht="31.5" customHeight="1" x14ac:dyDescent="0.35">
      <c r="B29" s="342"/>
      <c r="C29" s="343"/>
      <c r="D29" s="343"/>
      <c r="E29" s="344"/>
      <c r="F29" s="348"/>
      <c r="G29" s="349"/>
      <c r="H29" s="349"/>
      <c r="I29" s="349"/>
      <c r="J29" s="349"/>
      <c r="K29" s="349"/>
      <c r="L29" s="349"/>
      <c r="M29" s="349"/>
      <c r="N29" s="349"/>
      <c r="O29" s="349"/>
      <c r="P29" s="349"/>
      <c r="Q29" s="349"/>
      <c r="R29" s="349"/>
      <c r="S29" s="349"/>
      <c r="T29" s="349"/>
      <c r="U29" s="349"/>
      <c r="V29" s="349"/>
      <c r="W29" s="349"/>
      <c r="X29" s="349"/>
      <c r="Y29" s="350"/>
    </row>
    <row r="30" spans="2:25" ht="21.75" customHeight="1" x14ac:dyDescent="0.35">
      <c r="B30" s="342"/>
      <c r="C30" s="343"/>
      <c r="D30" s="343"/>
      <c r="E30" s="344"/>
      <c r="F30" s="348"/>
      <c r="G30" s="349"/>
      <c r="H30" s="349"/>
      <c r="I30" s="349"/>
      <c r="J30" s="349"/>
      <c r="K30" s="349"/>
      <c r="L30" s="349"/>
      <c r="M30" s="349"/>
      <c r="N30" s="349"/>
      <c r="O30" s="349"/>
      <c r="P30" s="349"/>
      <c r="Q30" s="349"/>
      <c r="R30" s="349"/>
      <c r="S30" s="349"/>
      <c r="T30" s="349"/>
      <c r="U30" s="349"/>
      <c r="V30" s="349"/>
      <c r="W30" s="349"/>
      <c r="X30" s="349"/>
      <c r="Y30" s="350"/>
    </row>
    <row r="31" spans="2:25" ht="18" customHeight="1" x14ac:dyDescent="0.35">
      <c r="B31" s="342"/>
      <c r="C31" s="343"/>
      <c r="D31" s="343"/>
      <c r="E31" s="344"/>
      <c r="F31" s="368" t="s">
        <v>708</v>
      </c>
      <c r="G31" s="369"/>
      <c r="H31" s="369"/>
      <c r="I31" s="369"/>
      <c r="J31" s="369"/>
      <c r="K31" s="369"/>
      <c r="L31" s="369"/>
      <c r="M31" s="369"/>
      <c r="N31" s="369"/>
      <c r="O31" s="369"/>
      <c r="P31" s="369"/>
      <c r="Q31" s="369"/>
      <c r="R31" s="369"/>
      <c r="S31" s="369"/>
      <c r="T31" s="369"/>
      <c r="U31" s="369"/>
      <c r="V31" s="369"/>
      <c r="W31" s="369"/>
      <c r="X31" s="369"/>
      <c r="Y31" s="370"/>
    </row>
    <row r="32" spans="2:25" ht="17.25" customHeight="1" x14ac:dyDescent="0.35">
      <c r="B32" s="342"/>
      <c r="C32" s="343"/>
      <c r="D32" s="343"/>
      <c r="E32" s="344"/>
      <c r="F32" s="371" t="s">
        <v>23</v>
      </c>
      <c r="G32" s="372"/>
      <c r="H32" s="372"/>
      <c r="I32" s="372"/>
      <c r="J32" s="373"/>
      <c r="K32" s="377" t="s">
        <v>24</v>
      </c>
      <c r="L32" s="377"/>
      <c r="M32" s="377"/>
      <c r="N32" s="377"/>
      <c r="O32" s="377"/>
      <c r="P32" s="377"/>
      <c r="Q32" s="377"/>
      <c r="R32" s="377"/>
      <c r="S32" s="377"/>
      <c r="T32" s="377"/>
      <c r="U32" s="377"/>
      <c r="V32" s="377"/>
      <c r="W32" s="377"/>
      <c r="X32" s="377"/>
      <c r="Y32" s="377"/>
    </row>
    <row r="33" spans="2:25" ht="13.5" customHeight="1" x14ac:dyDescent="0.35">
      <c r="B33" s="342"/>
      <c r="C33" s="343"/>
      <c r="D33" s="343"/>
      <c r="E33" s="344"/>
      <c r="F33" s="374"/>
      <c r="G33" s="375"/>
      <c r="H33" s="375"/>
      <c r="I33" s="375"/>
      <c r="J33" s="376"/>
      <c r="K33" s="282" t="s">
        <v>25</v>
      </c>
      <c r="L33" s="282"/>
      <c r="M33" s="282"/>
      <c r="N33" s="282" t="s">
        <v>26</v>
      </c>
      <c r="O33" s="282"/>
      <c r="P33" s="282"/>
      <c r="Q33" s="282" t="s">
        <v>27</v>
      </c>
      <c r="R33" s="282"/>
      <c r="S33" s="282"/>
      <c r="T33" s="282" t="s">
        <v>28</v>
      </c>
      <c r="U33" s="282"/>
      <c r="V33" s="282"/>
      <c r="W33" s="282" t="s">
        <v>29</v>
      </c>
      <c r="X33" s="282"/>
      <c r="Y33" s="282"/>
    </row>
    <row r="34" spans="2:25" ht="30" customHeight="1" x14ac:dyDescent="0.35">
      <c r="B34" s="342"/>
      <c r="C34" s="343"/>
      <c r="D34" s="343"/>
      <c r="E34" s="344"/>
      <c r="F34" s="277" t="s">
        <v>30</v>
      </c>
      <c r="G34" s="277"/>
      <c r="H34" s="277"/>
      <c r="I34" s="277"/>
      <c r="J34" s="278"/>
      <c r="K34" s="362" t="s">
        <v>31</v>
      </c>
      <c r="L34" s="363"/>
      <c r="M34" s="364"/>
      <c r="N34" s="362" t="s">
        <v>32</v>
      </c>
      <c r="O34" s="363"/>
      <c r="P34" s="364"/>
      <c r="Q34" s="362" t="s">
        <v>33</v>
      </c>
      <c r="R34" s="363"/>
      <c r="S34" s="364"/>
      <c r="T34" s="362" t="s">
        <v>34</v>
      </c>
      <c r="U34" s="363"/>
      <c r="V34" s="364"/>
      <c r="W34" s="362" t="s">
        <v>35</v>
      </c>
      <c r="X34" s="363"/>
      <c r="Y34" s="364"/>
    </row>
    <row r="35" spans="2:25" ht="87.75" customHeight="1" x14ac:dyDescent="0.35">
      <c r="B35" s="342"/>
      <c r="C35" s="343"/>
      <c r="D35" s="343"/>
      <c r="E35" s="344"/>
      <c r="F35" s="277" t="s">
        <v>36</v>
      </c>
      <c r="G35" s="277"/>
      <c r="H35" s="277"/>
      <c r="I35" s="277"/>
      <c r="J35" s="278"/>
      <c r="K35" s="359" t="s">
        <v>37</v>
      </c>
      <c r="L35" s="360"/>
      <c r="M35" s="361"/>
      <c r="N35" s="359" t="s">
        <v>38</v>
      </c>
      <c r="O35" s="360"/>
      <c r="P35" s="361"/>
      <c r="Q35" s="279" t="s">
        <v>39</v>
      </c>
      <c r="R35" s="279"/>
      <c r="S35" s="279"/>
      <c r="T35" s="279" t="s">
        <v>40</v>
      </c>
      <c r="U35" s="279"/>
      <c r="V35" s="279"/>
      <c r="W35" s="279" t="s">
        <v>41</v>
      </c>
      <c r="X35" s="279"/>
      <c r="Y35" s="279"/>
    </row>
    <row r="36" spans="2:25" ht="7.5" customHeight="1" x14ac:dyDescent="0.35">
      <c r="B36" s="342"/>
      <c r="C36" s="343"/>
      <c r="D36" s="343"/>
      <c r="E36" s="344"/>
      <c r="F36" s="365"/>
      <c r="G36" s="366"/>
      <c r="H36" s="366"/>
      <c r="I36" s="366"/>
      <c r="J36" s="366"/>
      <c r="K36" s="366"/>
      <c r="L36" s="366"/>
      <c r="M36" s="366"/>
      <c r="N36" s="366"/>
      <c r="O36" s="366"/>
      <c r="P36" s="366"/>
      <c r="Q36" s="366"/>
      <c r="R36" s="366"/>
      <c r="S36" s="366"/>
      <c r="T36" s="366"/>
      <c r="U36" s="366"/>
      <c r="V36" s="366"/>
      <c r="W36" s="366"/>
      <c r="X36" s="366"/>
      <c r="Y36" s="367"/>
    </row>
    <row r="37" spans="2:25" ht="41.25" customHeight="1" x14ac:dyDescent="0.35">
      <c r="B37" s="342"/>
      <c r="C37" s="343"/>
      <c r="D37" s="343"/>
      <c r="E37" s="344"/>
      <c r="F37" s="345" t="s">
        <v>42</v>
      </c>
      <c r="G37" s="346"/>
      <c r="H37" s="346"/>
      <c r="I37" s="346"/>
      <c r="J37" s="346"/>
      <c r="K37" s="346"/>
      <c r="L37" s="346"/>
      <c r="M37" s="346"/>
      <c r="N37" s="346"/>
      <c r="O37" s="346"/>
      <c r="P37" s="346"/>
      <c r="Q37" s="346"/>
      <c r="R37" s="346"/>
      <c r="S37" s="346"/>
      <c r="T37" s="346"/>
      <c r="U37" s="346"/>
      <c r="V37" s="346"/>
      <c r="W37" s="346"/>
      <c r="X37" s="346"/>
      <c r="Y37" s="347"/>
    </row>
    <row r="38" spans="2:25" ht="21.75" customHeight="1" x14ac:dyDescent="0.35">
      <c r="B38" s="342"/>
      <c r="C38" s="343"/>
      <c r="D38" s="343"/>
      <c r="E38" s="344"/>
      <c r="F38" s="348"/>
      <c r="G38" s="349"/>
      <c r="H38" s="349"/>
      <c r="I38" s="349"/>
      <c r="J38" s="349"/>
      <c r="K38" s="349"/>
      <c r="L38" s="349"/>
      <c r="M38" s="349"/>
      <c r="N38" s="349"/>
      <c r="O38" s="349"/>
      <c r="P38" s="349"/>
      <c r="Q38" s="349"/>
      <c r="R38" s="349"/>
      <c r="S38" s="349"/>
      <c r="T38" s="349"/>
      <c r="U38" s="349"/>
      <c r="V38" s="349"/>
      <c r="W38" s="349"/>
      <c r="X38" s="349"/>
      <c r="Y38" s="350"/>
    </row>
    <row r="39" spans="2:25" ht="21.75" customHeight="1" x14ac:dyDescent="0.35">
      <c r="B39" s="342"/>
      <c r="C39" s="343"/>
      <c r="D39" s="343"/>
      <c r="E39" s="344"/>
      <c r="F39" s="368" t="s">
        <v>712</v>
      </c>
      <c r="G39" s="369"/>
      <c r="H39" s="369"/>
      <c r="I39" s="369"/>
      <c r="J39" s="369"/>
      <c r="K39" s="369"/>
      <c r="L39" s="369"/>
      <c r="M39" s="369"/>
      <c r="N39" s="369"/>
      <c r="O39" s="369"/>
      <c r="P39" s="369"/>
      <c r="Q39" s="369"/>
      <c r="R39" s="369"/>
      <c r="S39" s="369"/>
      <c r="T39" s="369"/>
      <c r="U39" s="369"/>
      <c r="V39" s="369"/>
      <c r="W39" s="369"/>
      <c r="X39" s="369"/>
      <c r="Y39" s="370"/>
    </row>
    <row r="40" spans="2:25" ht="21.75" customHeight="1" x14ac:dyDescent="0.35">
      <c r="B40" s="342"/>
      <c r="C40" s="343"/>
      <c r="D40" s="343"/>
      <c r="E40" s="344"/>
      <c r="F40" s="288" t="s">
        <v>43</v>
      </c>
      <c r="G40" s="8" t="s">
        <v>29</v>
      </c>
      <c r="H40" s="286" t="s">
        <v>14</v>
      </c>
      <c r="I40" s="286"/>
      <c r="J40" s="286"/>
      <c r="K40" s="284" t="s">
        <v>44</v>
      </c>
      <c r="L40" s="284"/>
      <c r="M40" s="284"/>
      <c r="N40" s="284" t="s">
        <v>45</v>
      </c>
      <c r="O40" s="284"/>
      <c r="P40" s="284"/>
      <c r="Q40" s="285" t="s">
        <v>46</v>
      </c>
      <c r="R40" s="285"/>
      <c r="S40" s="285"/>
      <c r="T40" s="289" t="s">
        <v>47</v>
      </c>
      <c r="U40" s="289"/>
      <c r="V40" s="289"/>
      <c r="W40" s="289" t="s">
        <v>48</v>
      </c>
      <c r="X40" s="289"/>
      <c r="Y40" s="289"/>
    </row>
    <row r="41" spans="2:25" ht="30" customHeight="1" x14ac:dyDescent="0.35">
      <c r="B41" s="342"/>
      <c r="C41" s="343"/>
      <c r="D41" s="343"/>
      <c r="E41" s="344"/>
      <c r="F41" s="288"/>
      <c r="G41" s="8" t="s">
        <v>28</v>
      </c>
      <c r="H41" s="286" t="s">
        <v>16</v>
      </c>
      <c r="I41" s="286"/>
      <c r="J41" s="286"/>
      <c r="K41" s="284" t="s">
        <v>49</v>
      </c>
      <c r="L41" s="284"/>
      <c r="M41" s="284"/>
      <c r="N41" s="284" t="s">
        <v>50</v>
      </c>
      <c r="O41" s="284"/>
      <c r="P41" s="284"/>
      <c r="Q41" s="285" t="s">
        <v>51</v>
      </c>
      <c r="R41" s="285"/>
      <c r="S41" s="285"/>
      <c r="T41" s="285" t="s">
        <v>52</v>
      </c>
      <c r="U41" s="285"/>
      <c r="V41" s="285"/>
      <c r="W41" s="289" t="s">
        <v>47</v>
      </c>
      <c r="X41" s="289"/>
      <c r="Y41" s="289"/>
    </row>
    <row r="42" spans="2:25" ht="29.25" customHeight="1" x14ac:dyDescent="0.35">
      <c r="B42" s="342"/>
      <c r="C42" s="343"/>
      <c r="D42" s="343"/>
      <c r="E42" s="344"/>
      <c r="F42" s="288"/>
      <c r="G42" s="8" t="s">
        <v>27</v>
      </c>
      <c r="H42" s="286" t="s">
        <v>18</v>
      </c>
      <c r="I42" s="286"/>
      <c r="J42" s="286"/>
      <c r="K42" s="283" t="s">
        <v>53</v>
      </c>
      <c r="L42" s="283"/>
      <c r="M42" s="283"/>
      <c r="N42" s="284" t="s">
        <v>54</v>
      </c>
      <c r="O42" s="284"/>
      <c r="P42" s="284"/>
      <c r="Q42" s="284" t="s">
        <v>55</v>
      </c>
      <c r="R42" s="284"/>
      <c r="S42" s="284"/>
      <c r="T42" s="285" t="s">
        <v>51</v>
      </c>
      <c r="U42" s="285"/>
      <c r="V42" s="285"/>
      <c r="W42" s="285" t="s">
        <v>46</v>
      </c>
      <c r="X42" s="285"/>
      <c r="Y42" s="285"/>
    </row>
    <row r="43" spans="2:25" ht="31.5" customHeight="1" x14ac:dyDescent="0.35">
      <c r="B43" s="342"/>
      <c r="C43" s="343"/>
      <c r="D43" s="343"/>
      <c r="E43" s="344"/>
      <c r="F43" s="288"/>
      <c r="G43" s="8" t="s">
        <v>26</v>
      </c>
      <c r="H43" s="286" t="s">
        <v>20</v>
      </c>
      <c r="I43" s="286"/>
      <c r="J43" s="286"/>
      <c r="K43" s="283" t="s">
        <v>56</v>
      </c>
      <c r="L43" s="283"/>
      <c r="M43" s="283"/>
      <c r="N43" s="283" t="s">
        <v>57</v>
      </c>
      <c r="O43" s="283"/>
      <c r="P43" s="283"/>
      <c r="Q43" s="284" t="s">
        <v>54</v>
      </c>
      <c r="R43" s="284"/>
      <c r="S43" s="284"/>
      <c r="T43" s="284" t="s">
        <v>50</v>
      </c>
      <c r="U43" s="284"/>
      <c r="V43" s="284"/>
      <c r="W43" s="284" t="s">
        <v>45</v>
      </c>
      <c r="X43" s="284"/>
      <c r="Y43" s="284"/>
    </row>
    <row r="44" spans="2:25" ht="24.75" customHeight="1" x14ac:dyDescent="0.35">
      <c r="B44" s="342"/>
      <c r="C44" s="343"/>
      <c r="D44" s="343"/>
      <c r="E44" s="344"/>
      <c r="F44" s="288"/>
      <c r="G44" s="8" t="s">
        <v>25</v>
      </c>
      <c r="H44" s="286" t="s">
        <v>22</v>
      </c>
      <c r="I44" s="286"/>
      <c r="J44" s="286"/>
      <c r="K44" s="283" t="s">
        <v>58</v>
      </c>
      <c r="L44" s="283"/>
      <c r="M44" s="283"/>
      <c r="N44" s="283" t="s">
        <v>56</v>
      </c>
      <c r="O44" s="283"/>
      <c r="P44" s="283"/>
      <c r="Q44" s="283" t="s">
        <v>53</v>
      </c>
      <c r="R44" s="283"/>
      <c r="S44" s="283"/>
      <c r="T44" s="283" t="s">
        <v>57</v>
      </c>
      <c r="U44" s="283"/>
      <c r="V44" s="283"/>
      <c r="W44" s="284" t="s">
        <v>44</v>
      </c>
      <c r="X44" s="284"/>
      <c r="Y44" s="284"/>
    </row>
    <row r="45" spans="2:25" ht="18" customHeight="1" x14ac:dyDescent="0.35">
      <c r="B45" s="342"/>
      <c r="C45" s="343"/>
      <c r="D45" s="343"/>
      <c r="E45" s="344"/>
      <c r="F45" s="280" t="s">
        <v>59</v>
      </c>
      <c r="G45" s="281"/>
      <c r="H45" s="281"/>
      <c r="I45" s="281"/>
      <c r="J45" s="281"/>
      <c r="K45" s="281" t="s">
        <v>60</v>
      </c>
      <c r="L45" s="281"/>
      <c r="M45" s="281"/>
      <c r="N45" s="281"/>
      <c r="O45" s="281"/>
      <c r="P45" s="281"/>
      <c r="Q45" s="281"/>
      <c r="R45" s="281"/>
      <c r="S45" s="281"/>
      <c r="T45" s="281"/>
      <c r="U45" s="281"/>
      <c r="V45" s="281"/>
      <c r="W45" s="281"/>
      <c r="X45" s="281"/>
      <c r="Y45" s="281"/>
    </row>
    <row r="46" spans="2:25" ht="16.5" customHeight="1" x14ac:dyDescent="0.35">
      <c r="B46" s="342"/>
      <c r="C46" s="343"/>
      <c r="D46" s="343"/>
      <c r="E46" s="344"/>
      <c r="F46" s="280"/>
      <c r="G46" s="281"/>
      <c r="H46" s="281"/>
      <c r="I46" s="281"/>
      <c r="J46" s="281"/>
      <c r="K46" s="282" t="s">
        <v>25</v>
      </c>
      <c r="L46" s="282"/>
      <c r="M46" s="282"/>
      <c r="N46" s="282" t="s">
        <v>26</v>
      </c>
      <c r="O46" s="282"/>
      <c r="P46" s="282"/>
      <c r="Q46" s="282" t="s">
        <v>27</v>
      </c>
      <c r="R46" s="282"/>
      <c r="S46" s="282"/>
      <c r="T46" s="282" t="s">
        <v>28</v>
      </c>
      <c r="U46" s="282"/>
      <c r="V46" s="282"/>
      <c r="W46" s="282" t="s">
        <v>29</v>
      </c>
      <c r="X46" s="282"/>
      <c r="Y46" s="282"/>
    </row>
    <row r="47" spans="2:25" ht="24.75" customHeight="1" x14ac:dyDescent="0.35">
      <c r="B47" s="342"/>
      <c r="C47" s="343"/>
      <c r="D47" s="343"/>
      <c r="E47" s="344"/>
      <c r="F47" s="277" t="s">
        <v>30</v>
      </c>
      <c r="G47" s="277"/>
      <c r="H47" s="277"/>
      <c r="I47" s="277"/>
      <c r="J47" s="278"/>
      <c r="K47" s="362" t="s">
        <v>31</v>
      </c>
      <c r="L47" s="363"/>
      <c r="M47" s="364"/>
      <c r="N47" s="362" t="s">
        <v>32</v>
      </c>
      <c r="O47" s="363"/>
      <c r="P47" s="364"/>
      <c r="Q47" s="362" t="s">
        <v>33</v>
      </c>
      <c r="R47" s="363"/>
      <c r="S47" s="364"/>
      <c r="T47" s="362" t="s">
        <v>34</v>
      </c>
      <c r="U47" s="363"/>
      <c r="V47" s="364"/>
      <c r="W47" s="362" t="s">
        <v>35</v>
      </c>
      <c r="X47" s="363"/>
      <c r="Y47" s="364"/>
    </row>
    <row r="48" spans="2:25" ht="87.75" customHeight="1" x14ac:dyDescent="0.35">
      <c r="B48" s="342"/>
      <c r="C48" s="343"/>
      <c r="D48" s="343"/>
      <c r="E48" s="344"/>
      <c r="F48" s="277" t="s">
        <v>36</v>
      </c>
      <c r="G48" s="277"/>
      <c r="H48" s="277"/>
      <c r="I48" s="277"/>
      <c r="J48" s="278"/>
      <c r="K48" s="359" t="s">
        <v>37</v>
      </c>
      <c r="L48" s="360"/>
      <c r="M48" s="361"/>
      <c r="N48" s="359" t="s">
        <v>38</v>
      </c>
      <c r="O48" s="360"/>
      <c r="P48" s="361"/>
      <c r="Q48" s="279" t="s">
        <v>39</v>
      </c>
      <c r="R48" s="279"/>
      <c r="S48" s="279"/>
      <c r="T48" s="279" t="s">
        <v>40</v>
      </c>
      <c r="U48" s="279"/>
      <c r="V48" s="279"/>
      <c r="W48" s="279" t="s">
        <v>41</v>
      </c>
      <c r="X48" s="279"/>
      <c r="Y48" s="279"/>
    </row>
    <row r="49" spans="2:25" ht="9.75" customHeight="1" x14ac:dyDescent="0.35">
      <c r="B49" s="342"/>
      <c r="C49" s="343"/>
      <c r="D49" s="343"/>
      <c r="E49" s="344"/>
      <c r="V49" s="9"/>
      <c r="W49" s="9"/>
      <c r="X49" s="9"/>
      <c r="Y49" s="10"/>
    </row>
    <row r="50" spans="2:25" ht="21.75" customHeight="1" x14ac:dyDescent="0.35">
      <c r="B50" s="342"/>
      <c r="C50" s="343"/>
      <c r="D50" s="343"/>
      <c r="E50" s="344"/>
      <c r="F50" s="335" t="s">
        <v>61</v>
      </c>
      <c r="G50" s="336"/>
      <c r="H50" s="336"/>
      <c r="I50" s="336"/>
      <c r="J50" s="336"/>
      <c r="K50" s="336"/>
      <c r="L50" s="336"/>
      <c r="M50" s="336"/>
      <c r="N50" s="336"/>
      <c r="O50" s="336"/>
      <c r="P50" s="336"/>
      <c r="Q50" s="336"/>
      <c r="R50" s="336"/>
      <c r="S50" s="336"/>
      <c r="T50" s="336"/>
      <c r="U50" s="336"/>
      <c r="V50" s="336"/>
      <c r="W50" s="336"/>
      <c r="X50" s="336"/>
      <c r="Y50" s="337"/>
    </row>
    <row r="51" spans="2:25" ht="14.5" x14ac:dyDescent="0.35">
      <c r="B51" s="238" t="s">
        <v>62</v>
      </c>
      <c r="C51" s="239"/>
      <c r="D51" s="239"/>
      <c r="E51" s="239"/>
      <c r="F51" s="239"/>
      <c r="G51" s="239"/>
      <c r="H51" s="239"/>
      <c r="I51" s="239"/>
      <c r="J51" s="239"/>
      <c r="K51" s="239"/>
      <c r="L51" s="239"/>
      <c r="M51" s="239"/>
      <c r="N51" s="239"/>
      <c r="O51" s="239"/>
      <c r="P51" s="239"/>
      <c r="Q51" s="239"/>
      <c r="R51" s="239"/>
      <c r="S51" s="239"/>
      <c r="T51" s="239"/>
      <c r="U51" s="239"/>
      <c r="V51" s="239"/>
      <c r="W51" s="239"/>
      <c r="X51" s="239"/>
      <c r="Y51" s="240"/>
    </row>
    <row r="52" spans="2:25" ht="14.5" x14ac:dyDescent="0.35">
      <c r="B52" s="242" t="s">
        <v>63</v>
      </c>
      <c r="C52" s="242"/>
      <c r="D52" s="242"/>
      <c r="E52" s="242"/>
      <c r="F52" s="338" t="s">
        <v>64</v>
      </c>
      <c r="G52" s="338"/>
      <c r="H52" s="338"/>
      <c r="I52" s="338"/>
      <c r="J52" s="338"/>
      <c r="K52" s="338"/>
      <c r="L52" s="338"/>
      <c r="M52" s="338"/>
      <c r="N52" s="338"/>
      <c r="O52" s="338"/>
      <c r="P52" s="338"/>
      <c r="Q52" s="338"/>
      <c r="R52" s="338"/>
      <c r="S52" s="338"/>
      <c r="T52" s="338"/>
      <c r="U52" s="338"/>
      <c r="V52" s="338"/>
      <c r="W52" s="338"/>
      <c r="X52" s="338"/>
      <c r="Y52" s="338"/>
    </row>
    <row r="53" spans="2:25" ht="30.75" customHeight="1" x14ac:dyDescent="0.35">
      <c r="B53" s="242" t="s">
        <v>65</v>
      </c>
      <c r="C53" s="242"/>
      <c r="D53" s="242"/>
      <c r="E53" s="242"/>
      <c r="F53" s="243" t="s">
        <v>66</v>
      </c>
      <c r="G53" s="243"/>
      <c r="H53" s="243"/>
      <c r="I53" s="243"/>
      <c r="J53" s="243"/>
      <c r="K53" s="243"/>
      <c r="L53" s="243"/>
      <c r="M53" s="243"/>
      <c r="N53" s="243"/>
      <c r="O53" s="243"/>
      <c r="P53" s="243"/>
      <c r="Q53" s="243"/>
      <c r="R53" s="243"/>
      <c r="S53" s="243"/>
      <c r="T53" s="243"/>
      <c r="U53" s="243"/>
      <c r="V53" s="243"/>
      <c r="W53" s="243"/>
      <c r="X53" s="243"/>
      <c r="Y53" s="243"/>
    </row>
    <row r="54" spans="2:25" ht="127.5" customHeight="1" x14ac:dyDescent="0.35">
      <c r="B54" s="236" t="s">
        <v>67</v>
      </c>
      <c r="C54" s="236"/>
      <c r="D54" s="236"/>
      <c r="E54" s="236"/>
      <c r="F54" s="243" t="s">
        <v>715</v>
      </c>
      <c r="G54" s="243"/>
      <c r="H54" s="243"/>
      <c r="I54" s="243"/>
      <c r="J54" s="243"/>
      <c r="K54" s="243"/>
      <c r="L54" s="243"/>
      <c r="M54" s="243"/>
      <c r="N54" s="243"/>
      <c r="O54" s="243"/>
      <c r="P54" s="243"/>
      <c r="Q54" s="243"/>
      <c r="R54" s="243"/>
      <c r="S54" s="243"/>
      <c r="T54" s="243"/>
      <c r="U54" s="243"/>
      <c r="V54" s="243"/>
      <c r="W54" s="243"/>
      <c r="X54" s="243"/>
      <c r="Y54" s="243"/>
    </row>
    <row r="55" spans="2:25" ht="138" customHeight="1" x14ac:dyDescent="0.35">
      <c r="B55" s="236" t="s">
        <v>68</v>
      </c>
      <c r="C55" s="242"/>
      <c r="D55" s="242"/>
      <c r="E55" s="242"/>
      <c r="F55" s="243" t="s">
        <v>69</v>
      </c>
      <c r="G55" s="243"/>
      <c r="H55" s="243"/>
      <c r="I55" s="243"/>
      <c r="J55" s="243"/>
      <c r="K55" s="243"/>
      <c r="L55" s="243"/>
      <c r="M55" s="243"/>
      <c r="N55" s="243"/>
      <c r="O55" s="243"/>
      <c r="P55" s="243"/>
      <c r="Q55" s="243"/>
      <c r="R55" s="243"/>
      <c r="S55" s="243"/>
      <c r="T55" s="243"/>
      <c r="U55" s="243"/>
      <c r="V55" s="243"/>
      <c r="W55" s="243"/>
      <c r="X55" s="243"/>
      <c r="Y55" s="243"/>
    </row>
    <row r="56" spans="2:25" ht="99" customHeight="1" x14ac:dyDescent="0.35">
      <c r="B56" s="236" t="s">
        <v>70</v>
      </c>
      <c r="C56" s="242"/>
      <c r="D56" s="242"/>
      <c r="E56" s="242"/>
      <c r="F56" s="243" t="s">
        <v>71</v>
      </c>
      <c r="G56" s="243"/>
      <c r="H56" s="243"/>
      <c r="I56" s="243"/>
      <c r="J56" s="243"/>
      <c r="K56" s="243"/>
      <c r="L56" s="243"/>
      <c r="M56" s="243"/>
      <c r="N56" s="243"/>
      <c r="O56" s="243"/>
      <c r="P56" s="243"/>
      <c r="Q56" s="243"/>
      <c r="R56" s="243"/>
      <c r="S56" s="243"/>
      <c r="T56" s="243"/>
      <c r="U56" s="243"/>
      <c r="V56" s="243"/>
      <c r="W56" s="243"/>
      <c r="X56" s="243"/>
      <c r="Y56" s="243"/>
    </row>
    <row r="57" spans="2:25" ht="20.25" customHeight="1" x14ac:dyDescent="0.35">
      <c r="B57" s="323" t="s">
        <v>72</v>
      </c>
      <c r="C57" s="324"/>
      <c r="D57" s="324"/>
      <c r="E57" s="325"/>
      <c r="F57" s="332" t="s">
        <v>73</v>
      </c>
      <c r="G57" s="333"/>
      <c r="H57" s="333"/>
      <c r="I57" s="333"/>
      <c r="J57" s="333"/>
      <c r="K57" s="333"/>
      <c r="L57" s="333"/>
      <c r="M57" s="333"/>
      <c r="N57" s="333"/>
      <c r="O57" s="333"/>
      <c r="P57" s="333"/>
      <c r="Q57" s="333"/>
      <c r="R57" s="333"/>
      <c r="S57" s="333"/>
      <c r="T57" s="333"/>
      <c r="U57" s="333"/>
      <c r="V57" s="333"/>
      <c r="W57" s="333"/>
      <c r="X57" s="333"/>
      <c r="Y57" s="334"/>
    </row>
    <row r="58" spans="2:25" ht="59.25" customHeight="1" x14ac:dyDescent="0.35">
      <c r="B58" s="326"/>
      <c r="C58" s="327"/>
      <c r="D58" s="327"/>
      <c r="E58" s="328"/>
      <c r="F58" s="318" t="s">
        <v>74</v>
      </c>
      <c r="G58" s="319"/>
      <c r="H58" s="319"/>
      <c r="I58" s="319"/>
      <c r="J58" s="319"/>
      <c r="K58" s="319"/>
      <c r="L58" s="319"/>
      <c r="M58" s="319"/>
      <c r="N58" s="319"/>
      <c r="O58" s="319"/>
      <c r="P58" s="319"/>
      <c r="Q58" s="319"/>
      <c r="R58" s="319"/>
      <c r="S58" s="319"/>
      <c r="T58" s="319"/>
      <c r="U58" s="319"/>
      <c r="V58" s="319"/>
      <c r="W58" s="319"/>
      <c r="X58" s="319"/>
      <c r="Y58" s="320"/>
    </row>
    <row r="59" spans="2:25" ht="36" customHeight="1" x14ac:dyDescent="0.35">
      <c r="B59" s="326"/>
      <c r="C59" s="327"/>
      <c r="D59" s="327"/>
      <c r="E59" s="328"/>
      <c r="F59" s="318" t="s">
        <v>75</v>
      </c>
      <c r="G59" s="319"/>
      <c r="H59" s="319"/>
      <c r="I59" s="319"/>
      <c r="J59" s="319"/>
      <c r="K59" s="319"/>
      <c r="L59" s="319"/>
      <c r="M59" s="319"/>
      <c r="N59" s="319"/>
      <c r="O59" s="319"/>
      <c r="P59" s="319"/>
      <c r="Q59" s="319"/>
      <c r="R59" s="319"/>
      <c r="S59" s="319"/>
      <c r="T59" s="319"/>
      <c r="U59" s="319"/>
      <c r="V59" s="319"/>
      <c r="W59" s="319"/>
      <c r="X59" s="319"/>
      <c r="Y59" s="320"/>
    </row>
    <row r="60" spans="2:25" ht="128.25" customHeight="1" x14ac:dyDescent="0.35">
      <c r="B60" s="326"/>
      <c r="C60" s="327"/>
      <c r="D60" s="327"/>
      <c r="E60" s="328"/>
      <c r="F60" s="318" t="s">
        <v>76</v>
      </c>
      <c r="G60" s="319"/>
      <c r="H60" s="319"/>
      <c r="I60" s="319"/>
      <c r="J60" s="319"/>
      <c r="K60" s="319"/>
      <c r="L60" s="319"/>
      <c r="M60" s="319"/>
      <c r="N60" s="319"/>
      <c r="O60" s="319"/>
      <c r="P60" s="319"/>
      <c r="Q60" s="319"/>
      <c r="R60" s="319"/>
      <c r="S60" s="319"/>
      <c r="T60" s="319"/>
      <c r="U60" s="319"/>
      <c r="V60" s="319"/>
      <c r="W60" s="319"/>
      <c r="X60" s="319"/>
      <c r="Y60" s="320"/>
    </row>
    <row r="61" spans="2:25" ht="76.5" customHeight="1" x14ac:dyDescent="0.35">
      <c r="B61" s="326"/>
      <c r="C61" s="327"/>
      <c r="D61" s="327"/>
      <c r="E61" s="328"/>
      <c r="F61" s="318" t="s">
        <v>77</v>
      </c>
      <c r="G61" s="319"/>
      <c r="H61" s="319"/>
      <c r="I61" s="319"/>
      <c r="J61" s="319"/>
      <c r="K61" s="319"/>
      <c r="L61" s="319"/>
      <c r="M61" s="319"/>
      <c r="N61" s="319"/>
      <c r="O61" s="319"/>
      <c r="P61" s="319"/>
      <c r="Q61" s="319"/>
      <c r="R61" s="319"/>
      <c r="S61" s="319"/>
      <c r="T61" s="319"/>
      <c r="U61" s="319"/>
      <c r="V61" s="319"/>
      <c r="W61" s="319"/>
      <c r="X61" s="319"/>
      <c r="Y61" s="320"/>
    </row>
    <row r="62" spans="2:25" ht="64.5" customHeight="1" x14ac:dyDescent="0.35">
      <c r="B62" s="326"/>
      <c r="C62" s="327"/>
      <c r="D62" s="327"/>
      <c r="E62" s="328"/>
      <c r="F62" s="318" t="s">
        <v>78</v>
      </c>
      <c r="G62" s="319"/>
      <c r="H62" s="319"/>
      <c r="I62" s="319"/>
      <c r="J62" s="319"/>
      <c r="K62" s="319"/>
      <c r="L62" s="319"/>
      <c r="M62" s="319"/>
      <c r="N62" s="319"/>
      <c r="O62" s="319"/>
      <c r="P62" s="319"/>
      <c r="Q62" s="319"/>
      <c r="R62" s="319"/>
      <c r="S62" s="319"/>
      <c r="T62" s="319"/>
      <c r="U62" s="319"/>
      <c r="V62" s="319"/>
      <c r="W62" s="319"/>
      <c r="X62" s="319"/>
      <c r="Y62" s="320"/>
    </row>
    <row r="63" spans="2:25" ht="63.75" customHeight="1" x14ac:dyDescent="0.35">
      <c r="B63" s="326"/>
      <c r="C63" s="327"/>
      <c r="D63" s="327"/>
      <c r="E63" s="328"/>
      <c r="F63" s="318" t="s">
        <v>79</v>
      </c>
      <c r="G63" s="319"/>
      <c r="H63" s="319"/>
      <c r="I63" s="319"/>
      <c r="J63" s="319"/>
      <c r="K63" s="319"/>
      <c r="L63" s="319"/>
      <c r="M63" s="319"/>
      <c r="N63" s="319"/>
      <c r="O63" s="319"/>
      <c r="P63" s="319"/>
      <c r="Q63" s="319"/>
      <c r="R63" s="319"/>
      <c r="S63" s="319"/>
      <c r="T63" s="319"/>
      <c r="U63" s="319"/>
      <c r="V63" s="319"/>
      <c r="W63" s="319"/>
      <c r="X63" s="319"/>
      <c r="Y63" s="320"/>
    </row>
    <row r="64" spans="2:25" ht="141" customHeight="1" x14ac:dyDescent="0.35">
      <c r="B64" s="326"/>
      <c r="C64" s="327"/>
      <c r="D64" s="327"/>
      <c r="E64" s="328"/>
      <c r="F64" s="318" t="s">
        <v>713</v>
      </c>
      <c r="G64" s="319"/>
      <c r="H64" s="319"/>
      <c r="I64" s="319"/>
      <c r="J64" s="319"/>
      <c r="K64" s="319"/>
      <c r="L64" s="319"/>
      <c r="M64" s="319"/>
      <c r="N64" s="319"/>
      <c r="O64" s="319"/>
      <c r="P64" s="319"/>
      <c r="Q64" s="319"/>
      <c r="R64" s="319"/>
      <c r="S64" s="319"/>
      <c r="T64" s="319"/>
      <c r="U64" s="319"/>
      <c r="V64" s="319"/>
      <c r="W64" s="319"/>
      <c r="X64" s="319"/>
      <c r="Y64" s="320"/>
    </row>
    <row r="65" spans="2:25" ht="54.75" customHeight="1" x14ac:dyDescent="0.35">
      <c r="B65" s="326"/>
      <c r="C65" s="327"/>
      <c r="D65" s="327"/>
      <c r="E65" s="328"/>
      <c r="F65" s="318" t="s">
        <v>80</v>
      </c>
      <c r="G65" s="319"/>
      <c r="H65" s="319"/>
      <c r="I65" s="319"/>
      <c r="J65" s="319"/>
      <c r="K65" s="319"/>
      <c r="L65" s="319"/>
      <c r="M65" s="319"/>
      <c r="N65" s="319"/>
      <c r="O65" s="319"/>
      <c r="P65" s="319"/>
      <c r="Q65" s="319"/>
      <c r="R65" s="319"/>
      <c r="S65" s="319"/>
      <c r="T65" s="319"/>
      <c r="U65" s="319"/>
      <c r="V65" s="319"/>
      <c r="W65" s="319"/>
      <c r="X65" s="319"/>
      <c r="Y65" s="320"/>
    </row>
    <row r="66" spans="2:25" ht="126.75" customHeight="1" x14ac:dyDescent="0.35">
      <c r="B66" s="326"/>
      <c r="C66" s="327"/>
      <c r="D66" s="327"/>
      <c r="E66" s="328"/>
      <c r="F66" s="318" t="s">
        <v>81</v>
      </c>
      <c r="G66" s="319"/>
      <c r="H66" s="319"/>
      <c r="I66" s="319"/>
      <c r="J66" s="319"/>
      <c r="K66" s="319"/>
      <c r="L66" s="319"/>
      <c r="M66" s="319"/>
      <c r="N66" s="319"/>
      <c r="O66" s="319"/>
      <c r="P66" s="319"/>
      <c r="Q66" s="319"/>
      <c r="R66" s="319"/>
      <c r="S66" s="319"/>
      <c r="T66" s="319"/>
      <c r="U66" s="319"/>
      <c r="V66" s="319"/>
      <c r="W66" s="319"/>
      <c r="X66" s="319"/>
      <c r="Y66" s="320"/>
    </row>
    <row r="67" spans="2:25" ht="39.75" customHeight="1" x14ac:dyDescent="0.35">
      <c r="B67" s="326"/>
      <c r="C67" s="327"/>
      <c r="D67" s="327"/>
      <c r="E67" s="328"/>
      <c r="F67" s="318" t="s">
        <v>714</v>
      </c>
      <c r="G67" s="319"/>
      <c r="H67" s="319"/>
      <c r="I67" s="319"/>
      <c r="J67" s="319"/>
      <c r="K67" s="319"/>
      <c r="L67" s="319"/>
      <c r="M67" s="319"/>
      <c r="N67" s="319"/>
      <c r="O67" s="319"/>
      <c r="P67" s="319"/>
      <c r="Q67" s="319"/>
      <c r="R67" s="319"/>
      <c r="S67" s="319"/>
      <c r="T67" s="319"/>
      <c r="U67" s="319"/>
      <c r="V67" s="319"/>
      <c r="W67" s="319"/>
      <c r="X67" s="319"/>
      <c r="Y67" s="320"/>
    </row>
    <row r="68" spans="2:25" ht="39" customHeight="1" x14ac:dyDescent="0.35">
      <c r="B68" s="329"/>
      <c r="C68" s="330"/>
      <c r="D68" s="330"/>
      <c r="E68" s="331"/>
      <c r="F68" s="264" t="s">
        <v>82</v>
      </c>
      <c r="G68" s="265"/>
      <c r="H68" s="265"/>
      <c r="I68" s="265"/>
      <c r="J68" s="265"/>
      <c r="K68" s="265"/>
      <c r="L68" s="265"/>
      <c r="M68" s="265"/>
      <c r="N68" s="265"/>
      <c r="O68" s="265"/>
      <c r="P68" s="265"/>
      <c r="Q68" s="265"/>
      <c r="R68" s="265"/>
      <c r="S68" s="265"/>
      <c r="T68" s="265"/>
      <c r="U68" s="265"/>
      <c r="V68" s="265"/>
      <c r="W68" s="265"/>
      <c r="X68" s="265"/>
      <c r="Y68" s="266"/>
    </row>
    <row r="69" spans="2:25" ht="24" customHeight="1" x14ac:dyDescent="0.35">
      <c r="B69" s="238" t="s">
        <v>83</v>
      </c>
      <c r="C69" s="239"/>
      <c r="D69" s="239"/>
      <c r="E69" s="239"/>
      <c r="F69" s="239"/>
      <c r="G69" s="239"/>
      <c r="H69" s="239"/>
      <c r="I69" s="239"/>
      <c r="J69" s="239"/>
      <c r="K69" s="239"/>
      <c r="L69" s="239"/>
      <c r="M69" s="239"/>
      <c r="N69" s="239"/>
      <c r="O69" s="239"/>
      <c r="P69" s="239"/>
      <c r="Q69" s="239"/>
      <c r="R69" s="239"/>
      <c r="S69" s="239"/>
      <c r="T69" s="239"/>
      <c r="U69" s="239"/>
      <c r="V69" s="239"/>
      <c r="W69" s="239"/>
      <c r="X69" s="239"/>
      <c r="Y69" s="240"/>
    </row>
    <row r="70" spans="2:25" ht="48.75" customHeight="1" x14ac:dyDescent="0.35">
      <c r="B70" s="321" t="s">
        <v>84</v>
      </c>
      <c r="C70" s="321"/>
      <c r="D70" s="321"/>
      <c r="E70" s="321"/>
      <c r="F70" s="258" t="s">
        <v>717</v>
      </c>
      <c r="G70" s="259"/>
      <c r="H70" s="259"/>
      <c r="I70" s="259"/>
      <c r="J70" s="259"/>
      <c r="K70" s="259"/>
      <c r="L70" s="259"/>
      <c r="M70" s="259"/>
      <c r="N70" s="259"/>
      <c r="O70" s="259"/>
      <c r="P70" s="259"/>
      <c r="Q70" s="259"/>
      <c r="R70" s="259"/>
      <c r="S70" s="259"/>
      <c r="T70" s="259"/>
      <c r="U70" s="259"/>
      <c r="V70" s="259"/>
      <c r="W70" s="259"/>
      <c r="X70" s="259"/>
      <c r="Y70" s="260"/>
    </row>
    <row r="71" spans="2:25" ht="19.5" customHeight="1" x14ac:dyDescent="0.35">
      <c r="B71" s="321"/>
      <c r="C71" s="321"/>
      <c r="D71" s="321"/>
      <c r="E71" s="321"/>
      <c r="F71" s="11"/>
      <c r="G71" s="12"/>
      <c r="H71" s="287" t="s">
        <v>85</v>
      </c>
      <c r="I71" s="287"/>
      <c r="J71" s="287"/>
      <c r="K71" s="287"/>
      <c r="L71" s="287"/>
      <c r="M71" s="287"/>
      <c r="N71" s="287"/>
      <c r="O71" s="287"/>
      <c r="P71" s="287"/>
      <c r="Q71" s="287"/>
      <c r="R71" s="287"/>
      <c r="S71" s="287"/>
      <c r="T71" s="287"/>
      <c r="U71" s="287"/>
      <c r="V71" s="287"/>
      <c r="W71" s="287"/>
      <c r="X71" s="12"/>
      <c r="Y71" s="13"/>
    </row>
    <row r="72" spans="2:25" ht="21" customHeight="1" x14ac:dyDescent="0.35">
      <c r="B72" s="321"/>
      <c r="C72" s="321"/>
      <c r="D72" s="321"/>
      <c r="E72" s="321"/>
      <c r="F72" s="11"/>
      <c r="G72" s="12"/>
      <c r="H72" s="322" t="s">
        <v>10</v>
      </c>
      <c r="I72" s="322"/>
      <c r="J72" s="322" t="s">
        <v>11</v>
      </c>
      <c r="K72" s="322"/>
      <c r="L72" s="322"/>
      <c r="M72" s="322"/>
      <c r="N72" s="322" t="s">
        <v>86</v>
      </c>
      <c r="O72" s="322"/>
      <c r="P72" s="322"/>
      <c r="Q72" s="322"/>
      <c r="R72" s="322"/>
      <c r="S72" s="322"/>
      <c r="T72" s="322"/>
      <c r="U72" s="322"/>
      <c r="V72" s="322"/>
      <c r="W72" s="322"/>
      <c r="Y72" s="4"/>
    </row>
    <row r="73" spans="2:25" ht="15" customHeight="1" x14ac:dyDescent="0.35">
      <c r="B73" s="321"/>
      <c r="C73" s="321"/>
      <c r="D73" s="321"/>
      <c r="E73" s="321"/>
      <c r="F73" s="11"/>
      <c r="G73" s="12"/>
      <c r="H73" s="315">
        <v>5</v>
      </c>
      <c r="I73" s="315"/>
      <c r="J73" s="316" t="s">
        <v>13</v>
      </c>
      <c r="K73" s="316"/>
      <c r="L73" s="316"/>
      <c r="M73" s="316"/>
      <c r="N73" s="316" t="s">
        <v>87</v>
      </c>
      <c r="O73" s="316"/>
      <c r="P73" s="316"/>
      <c r="Q73" s="316"/>
      <c r="R73" s="316"/>
      <c r="S73" s="316"/>
      <c r="T73" s="316"/>
      <c r="U73" s="316"/>
      <c r="V73" s="316"/>
      <c r="W73" s="316"/>
      <c r="Y73" s="4"/>
    </row>
    <row r="74" spans="2:25" ht="15" customHeight="1" x14ac:dyDescent="0.35">
      <c r="B74" s="321"/>
      <c r="C74" s="321"/>
      <c r="D74" s="321"/>
      <c r="E74" s="321"/>
      <c r="F74" s="11"/>
      <c r="G74" s="12"/>
      <c r="H74" s="315">
        <v>4</v>
      </c>
      <c r="I74" s="315"/>
      <c r="J74" s="314" t="s">
        <v>15</v>
      </c>
      <c r="K74" s="314"/>
      <c r="L74" s="314"/>
      <c r="M74" s="314"/>
      <c r="N74" s="314" t="s">
        <v>88</v>
      </c>
      <c r="O74" s="314"/>
      <c r="P74" s="314"/>
      <c r="Q74" s="314"/>
      <c r="R74" s="314"/>
      <c r="S74" s="314"/>
      <c r="T74" s="314"/>
      <c r="U74" s="314"/>
      <c r="V74" s="314"/>
      <c r="W74" s="314"/>
      <c r="Y74" s="4"/>
    </row>
    <row r="75" spans="2:25" ht="15" customHeight="1" x14ac:dyDescent="0.35">
      <c r="B75" s="321"/>
      <c r="C75" s="321"/>
      <c r="D75" s="321"/>
      <c r="E75" s="321"/>
      <c r="F75" s="11"/>
      <c r="G75" s="12"/>
      <c r="H75" s="315">
        <v>3</v>
      </c>
      <c r="I75" s="315"/>
      <c r="J75" s="316" t="s">
        <v>17</v>
      </c>
      <c r="K75" s="316"/>
      <c r="L75" s="316"/>
      <c r="M75" s="316"/>
      <c r="N75" s="316" t="s">
        <v>89</v>
      </c>
      <c r="O75" s="316"/>
      <c r="P75" s="316"/>
      <c r="Q75" s="316"/>
      <c r="R75" s="316"/>
      <c r="S75" s="316"/>
      <c r="T75" s="316"/>
      <c r="U75" s="316"/>
      <c r="V75" s="316"/>
      <c r="W75" s="316"/>
      <c r="Y75" s="4"/>
    </row>
    <row r="76" spans="2:25" ht="15" customHeight="1" x14ac:dyDescent="0.35">
      <c r="B76" s="321"/>
      <c r="C76" s="321"/>
      <c r="D76" s="321"/>
      <c r="E76" s="321"/>
      <c r="F76" s="11"/>
      <c r="G76" s="12"/>
      <c r="H76" s="315">
        <v>2</v>
      </c>
      <c r="I76" s="315"/>
      <c r="J76" s="314" t="s">
        <v>19</v>
      </c>
      <c r="K76" s="314"/>
      <c r="L76" s="314"/>
      <c r="M76" s="314"/>
      <c r="N76" s="314" t="s">
        <v>90</v>
      </c>
      <c r="O76" s="314"/>
      <c r="P76" s="314"/>
      <c r="Q76" s="314"/>
      <c r="R76" s="314"/>
      <c r="S76" s="314"/>
      <c r="T76" s="314"/>
      <c r="U76" s="314"/>
      <c r="V76" s="314"/>
      <c r="W76" s="314"/>
      <c r="Y76" s="4"/>
    </row>
    <row r="77" spans="2:25" ht="14.5" x14ac:dyDescent="0.35">
      <c r="B77" s="321"/>
      <c r="C77" s="321"/>
      <c r="D77" s="321"/>
      <c r="E77" s="321"/>
      <c r="F77" s="11"/>
      <c r="G77" s="12"/>
      <c r="H77" s="315">
        <v>1</v>
      </c>
      <c r="I77" s="315"/>
      <c r="J77" s="316" t="s">
        <v>21</v>
      </c>
      <c r="K77" s="316"/>
      <c r="L77" s="316"/>
      <c r="M77" s="316"/>
      <c r="N77" s="317" t="s">
        <v>91</v>
      </c>
      <c r="O77" s="316"/>
      <c r="P77" s="316"/>
      <c r="Q77" s="316"/>
      <c r="R77" s="316"/>
      <c r="S77" s="316"/>
      <c r="T77" s="316"/>
      <c r="U77" s="316"/>
      <c r="V77" s="316"/>
      <c r="W77" s="316"/>
      <c r="Y77" s="4"/>
    </row>
    <row r="78" spans="2:25" ht="15" customHeight="1" x14ac:dyDescent="0.35">
      <c r="B78" s="321"/>
      <c r="C78" s="321"/>
      <c r="D78" s="321"/>
      <c r="E78" s="321"/>
      <c r="F78" s="14"/>
      <c r="G78" s="15"/>
      <c r="H78" s="15"/>
      <c r="I78" s="15"/>
      <c r="J78" s="15"/>
      <c r="K78" s="15"/>
      <c r="L78" s="15"/>
      <c r="M78" s="15"/>
      <c r="N78" s="15"/>
      <c r="O78" s="15"/>
      <c r="P78" s="15"/>
      <c r="Q78" s="15"/>
      <c r="R78" s="15"/>
      <c r="S78" s="15"/>
      <c r="T78" s="15"/>
      <c r="U78" s="15"/>
      <c r="V78" s="15"/>
      <c r="W78" s="15"/>
      <c r="X78" s="15"/>
      <c r="Y78" s="16"/>
    </row>
    <row r="79" spans="2:25" ht="259.5" customHeight="1" x14ac:dyDescent="0.35">
      <c r="B79" s="305" t="s">
        <v>92</v>
      </c>
      <c r="C79" s="306"/>
      <c r="D79" s="306"/>
      <c r="E79" s="307"/>
      <c r="F79" s="259" t="s">
        <v>93</v>
      </c>
      <c r="G79" s="259"/>
      <c r="H79" s="259"/>
      <c r="I79" s="259"/>
      <c r="J79" s="259"/>
      <c r="K79" s="259"/>
      <c r="L79" s="259"/>
      <c r="M79" s="259"/>
      <c r="N79" s="259"/>
      <c r="O79" s="259"/>
      <c r="P79" s="259"/>
      <c r="Q79" s="259"/>
      <c r="R79" s="259"/>
      <c r="S79" s="259"/>
      <c r="T79" s="259"/>
      <c r="U79" s="259"/>
      <c r="V79" s="259"/>
      <c r="W79" s="259"/>
      <c r="X79" s="259"/>
      <c r="Y79" s="260"/>
    </row>
    <row r="80" spans="2:25" ht="187.5" customHeight="1" x14ac:dyDescent="0.35">
      <c r="B80" s="305"/>
      <c r="C80" s="306"/>
      <c r="D80" s="306"/>
      <c r="E80" s="307"/>
      <c r="F80" s="261" t="s">
        <v>94</v>
      </c>
      <c r="G80" s="262"/>
      <c r="H80" s="262"/>
      <c r="I80" s="262"/>
      <c r="J80" s="262"/>
      <c r="K80" s="262"/>
      <c r="L80" s="262"/>
      <c r="M80" s="262"/>
      <c r="N80" s="262"/>
      <c r="O80" s="262"/>
      <c r="P80" s="262"/>
      <c r="Q80" s="262"/>
      <c r="R80" s="262"/>
      <c r="S80" s="262"/>
      <c r="T80" s="262"/>
      <c r="U80" s="262"/>
      <c r="V80" s="262"/>
      <c r="W80" s="262"/>
      <c r="X80" s="262"/>
      <c r="Y80" s="263"/>
    </row>
    <row r="81" spans="2:25" ht="35.25" customHeight="1" x14ac:dyDescent="0.35">
      <c r="B81" s="305"/>
      <c r="C81" s="306"/>
      <c r="D81" s="306"/>
      <c r="E81" s="307"/>
      <c r="F81" s="261" t="s">
        <v>95</v>
      </c>
      <c r="G81" s="262"/>
      <c r="H81" s="262"/>
      <c r="I81" s="262"/>
      <c r="J81" s="262"/>
      <c r="K81" s="262"/>
      <c r="L81" s="262"/>
      <c r="M81" s="262"/>
      <c r="N81" s="262"/>
      <c r="O81" s="262"/>
      <c r="P81" s="262"/>
      <c r="Q81" s="262"/>
      <c r="R81" s="262"/>
      <c r="S81" s="262"/>
      <c r="T81" s="262"/>
      <c r="U81" s="262"/>
      <c r="V81" s="262"/>
      <c r="W81" s="262"/>
      <c r="X81" s="262"/>
      <c r="Y81" s="263"/>
    </row>
    <row r="82" spans="2:25" ht="18.75" customHeight="1" x14ac:dyDescent="0.35">
      <c r="B82" s="305"/>
      <c r="C82" s="306"/>
      <c r="D82" s="306"/>
      <c r="E82" s="307"/>
      <c r="F82" s="287" t="s">
        <v>96</v>
      </c>
      <c r="G82" s="287"/>
      <c r="H82" s="287"/>
      <c r="I82" s="287"/>
      <c r="J82" s="287"/>
      <c r="K82" s="287"/>
      <c r="L82" s="287"/>
      <c r="M82" s="287"/>
      <c r="N82" s="287"/>
      <c r="O82" s="287"/>
      <c r="P82" s="287"/>
      <c r="Q82" s="287"/>
      <c r="R82" s="287"/>
      <c r="S82" s="287"/>
      <c r="T82" s="287"/>
      <c r="U82" s="287"/>
      <c r="V82" s="287"/>
      <c r="W82" s="287"/>
      <c r="X82" s="287"/>
      <c r="Y82" s="311"/>
    </row>
    <row r="83" spans="2:25" ht="30.75" customHeight="1" x14ac:dyDescent="0.35">
      <c r="B83" s="305"/>
      <c r="C83" s="306"/>
      <c r="D83" s="306"/>
      <c r="E83" s="307"/>
      <c r="F83" s="312" t="s">
        <v>43</v>
      </c>
      <c r="G83" s="17" t="s">
        <v>29</v>
      </c>
      <c r="H83" s="291" t="s">
        <v>97</v>
      </c>
      <c r="I83" s="291"/>
      <c r="J83" s="291"/>
      <c r="K83" s="292" t="s">
        <v>98</v>
      </c>
      <c r="L83" s="292"/>
      <c r="M83" s="292"/>
      <c r="N83" s="293" t="s">
        <v>99</v>
      </c>
      <c r="O83" s="293"/>
      <c r="P83" s="293"/>
      <c r="Q83" s="313" t="s">
        <v>100</v>
      </c>
      <c r="R83" s="313"/>
      <c r="S83" s="313"/>
      <c r="T83" s="300" t="s">
        <v>101</v>
      </c>
      <c r="U83" s="300"/>
      <c r="V83" s="300"/>
      <c r="W83" s="300" t="s">
        <v>102</v>
      </c>
      <c r="X83" s="300"/>
      <c r="Y83" s="300"/>
    </row>
    <row r="84" spans="2:25" ht="30.75" customHeight="1" x14ac:dyDescent="0.35">
      <c r="B84" s="305"/>
      <c r="C84" s="306"/>
      <c r="D84" s="306"/>
      <c r="E84" s="307"/>
      <c r="F84" s="312"/>
      <c r="G84" s="17" t="s">
        <v>103</v>
      </c>
      <c r="H84" s="291" t="s">
        <v>88</v>
      </c>
      <c r="I84" s="291"/>
      <c r="J84" s="291"/>
      <c r="K84" s="292" t="s">
        <v>104</v>
      </c>
      <c r="L84" s="292"/>
      <c r="M84" s="292"/>
      <c r="N84" s="293" t="s">
        <v>105</v>
      </c>
      <c r="O84" s="293"/>
      <c r="P84" s="293"/>
      <c r="Q84" s="313" t="s">
        <v>106</v>
      </c>
      <c r="R84" s="313"/>
      <c r="S84" s="313"/>
      <c r="T84" s="297" t="s">
        <v>107</v>
      </c>
      <c r="U84" s="298"/>
      <c r="V84" s="299"/>
      <c r="W84" s="300" t="s">
        <v>101</v>
      </c>
      <c r="X84" s="300"/>
      <c r="Y84" s="300"/>
    </row>
    <row r="85" spans="2:25" ht="30.75" customHeight="1" x14ac:dyDescent="0.35">
      <c r="B85" s="305"/>
      <c r="C85" s="306"/>
      <c r="D85" s="306"/>
      <c r="E85" s="307"/>
      <c r="F85" s="312"/>
      <c r="G85" s="17" t="s">
        <v>108</v>
      </c>
      <c r="H85" s="291" t="s">
        <v>89</v>
      </c>
      <c r="I85" s="291"/>
      <c r="J85" s="291"/>
      <c r="K85" s="292" t="s">
        <v>109</v>
      </c>
      <c r="L85" s="292"/>
      <c r="M85" s="292"/>
      <c r="N85" s="293" t="s">
        <v>110</v>
      </c>
      <c r="O85" s="293"/>
      <c r="P85" s="293"/>
      <c r="Q85" s="294" t="s">
        <v>111</v>
      </c>
      <c r="R85" s="295"/>
      <c r="S85" s="296"/>
      <c r="T85" s="297" t="s">
        <v>106</v>
      </c>
      <c r="U85" s="298"/>
      <c r="V85" s="299"/>
      <c r="W85" s="300" t="s">
        <v>112</v>
      </c>
      <c r="X85" s="300"/>
      <c r="Y85" s="300"/>
    </row>
    <row r="86" spans="2:25" ht="30.75" customHeight="1" x14ac:dyDescent="0.35">
      <c r="B86" s="305"/>
      <c r="C86" s="306"/>
      <c r="D86" s="306"/>
      <c r="E86" s="307"/>
      <c r="F86" s="312"/>
      <c r="G86" s="17" t="s">
        <v>113</v>
      </c>
      <c r="H86" s="291" t="s">
        <v>90</v>
      </c>
      <c r="I86" s="291"/>
      <c r="J86" s="291"/>
      <c r="K86" s="292" t="s">
        <v>114</v>
      </c>
      <c r="L86" s="292"/>
      <c r="M86" s="292"/>
      <c r="N86" s="292" t="s">
        <v>104</v>
      </c>
      <c r="O86" s="292"/>
      <c r="P86" s="292"/>
      <c r="Q86" s="294" t="s">
        <v>110</v>
      </c>
      <c r="R86" s="295"/>
      <c r="S86" s="296"/>
      <c r="T86" s="297" t="s">
        <v>115</v>
      </c>
      <c r="U86" s="298"/>
      <c r="V86" s="299"/>
      <c r="W86" s="300" t="s">
        <v>116</v>
      </c>
      <c r="X86" s="300"/>
      <c r="Y86" s="300"/>
    </row>
    <row r="87" spans="2:25" ht="30.75" customHeight="1" x14ac:dyDescent="0.35">
      <c r="B87" s="305"/>
      <c r="C87" s="306"/>
      <c r="D87" s="306"/>
      <c r="E87" s="307"/>
      <c r="F87" s="312"/>
      <c r="G87" s="17" t="s">
        <v>117</v>
      </c>
      <c r="H87" s="291" t="s">
        <v>91</v>
      </c>
      <c r="I87" s="291"/>
      <c r="J87" s="291"/>
      <c r="K87" s="292" t="s">
        <v>118</v>
      </c>
      <c r="L87" s="292"/>
      <c r="M87" s="292"/>
      <c r="N87" s="292" t="s">
        <v>114</v>
      </c>
      <c r="O87" s="292"/>
      <c r="P87" s="292"/>
      <c r="Q87" s="294" t="s">
        <v>119</v>
      </c>
      <c r="R87" s="295"/>
      <c r="S87" s="296"/>
      <c r="T87" s="297" t="s">
        <v>120</v>
      </c>
      <c r="U87" s="298"/>
      <c r="V87" s="299"/>
      <c r="W87" s="300" t="s">
        <v>121</v>
      </c>
      <c r="X87" s="300"/>
      <c r="Y87" s="300"/>
    </row>
    <row r="88" spans="2:25" ht="17.25" customHeight="1" x14ac:dyDescent="0.35">
      <c r="B88" s="305"/>
      <c r="C88" s="306"/>
      <c r="D88" s="306"/>
      <c r="E88" s="307"/>
      <c r="F88" s="301" t="s">
        <v>122</v>
      </c>
      <c r="G88" s="302"/>
      <c r="H88" s="302"/>
      <c r="I88" s="302"/>
      <c r="J88" s="302"/>
      <c r="K88" s="303" t="s">
        <v>60</v>
      </c>
      <c r="L88" s="303"/>
      <c r="M88" s="303"/>
      <c r="N88" s="303"/>
      <c r="O88" s="303"/>
      <c r="P88" s="303"/>
      <c r="Q88" s="303"/>
      <c r="R88" s="303"/>
      <c r="S88" s="303"/>
      <c r="T88" s="303"/>
      <c r="U88" s="303"/>
      <c r="V88" s="303"/>
      <c r="W88" s="303"/>
      <c r="X88" s="303"/>
      <c r="Y88" s="303"/>
    </row>
    <row r="89" spans="2:25" ht="17.25" customHeight="1" x14ac:dyDescent="0.35">
      <c r="B89" s="305"/>
      <c r="C89" s="306"/>
      <c r="D89" s="306"/>
      <c r="E89" s="307"/>
      <c r="F89" s="301"/>
      <c r="G89" s="302"/>
      <c r="H89" s="302"/>
      <c r="I89" s="302"/>
      <c r="J89" s="302"/>
      <c r="K89" s="304" t="s">
        <v>123</v>
      </c>
      <c r="L89" s="304"/>
      <c r="M89" s="304"/>
      <c r="N89" s="304" t="s">
        <v>124</v>
      </c>
      <c r="O89" s="304"/>
      <c r="P89" s="304"/>
      <c r="Q89" s="304" t="s">
        <v>125</v>
      </c>
      <c r="R89" s="304"/>
      <c r="S89" s="304"/>
      <c r="T89" s="304" t="s">
        <v>126</v>
      </c>
      <c r="U89" s="304"/>
      <c r="V89" s="304"/>
      <c r="W89" s="304" t="s">
        <v>127</v>
      </c>
      <c r="X89" s="304"/>
      <c r="Y89" s="304"/>
    </row>
    <row r="90" spans="2:25" ht="45" customHeight="1" x14ac:dyDescent="0.35">
      <c r="B90" s="305"/>
      <c r="C90" s="306"/>
      <c r="D90" s="306"/>
      <c r="E90" s="307"/>
      <c r="F90" s="277" t="s">
        <v>128</v>
      </c>
      <c r="G90" s="277"/>
      <c r="H90" s="277"/>
      <c r="I90" s="277"/>
      <c r="J90" s="278"/>
      <c r="K90" s="279" t="s">
        <v>129</v>
      </c>
      <c r="L90" s="279"/>
      <c r="M90" s="279"/>
      <c r="N90" s="279" t="s">
        <v>130</v>
      </c>
      <c r="O90" s="279"/>
      <c r="P90" s="279"/>
      <c r="Q90" s="279" t="s">
        <v>131</v>
      </c>
      <c r="R90" s="279"/>
      <c r="S90" s="279"/>
      <c r="T90" s="279" t="s">
        <v>132</v>
      </c>
      <c r="U90" s="279"/>
      <c r="V90" s="279"/>
      <c r="W90" s="279" t="s">
        <v>133</v>
      </c>
      <c r="X90" s="279"/>
      <c r="Y90" s="279"/>
    </row>
    <row r="91" spans="2:25" ht="50.25" customHeight="1" x14ac:dyDescent="0.35">
      <c r="B91" s="305"/>
      <c r="C91" s="306"/>
      <c r="D91" s="306"/>
      <c r="E91" s="307"/>
      <c r="F91" s="290" t="s">
        <v>134</v>
      </c>
      <c r="G91" s="277"/>
      <c r="H91" s="277"/>
      <c r="I91" s="277"/>
      <c r="J91" s="278"/>
      <c r="K91" s="279" t="s">
        <v>135</v>
      </c>
      <c r="L91" s="279"/>
      <c r="M91" s="279"/>
      <c r="N91" s="279" t="s">
        <v>136</v>
      </c>
      <c r="O91" s="279"/>
      <c r="P91" s="279"/>
      <c r="Q91" s="279" t="s">
        <v>137</v>
      </c>
      <c r="R91" s="279"/>
      <c r="S91" s="279"/>
      <c r="T91" s="279" t="s">
        <v>138</v>
      </c>
      <c r="U91" s="279"/>
      <c r="V91" s="279"/>
      <c r="W91" s="279" t="s">
        <v>139</v>
      </c>
      <c r="X91" s="279"/>
      <c r="Y91" s="279"/>
    </row>
    <row r="92" spans="2:25" ht="51.75" customHeight="1" x14ac:dyDescent="0.35">
      <c r="B92" s="305"/>
      <c r="C92" s="306"/>
      <c r="D92" s="306"/>
      <c r="E92" s="307"/>
      <c r="F92" s="277" t="s">
        <v>140</v>
      </c>
      <c r="G92" s="277"/>
      <c r="H92" s="277"/>
      <c r="I92" s="277"/>
      <c r="J92" s="278"/>
      <c r="K92" s="279" t="s">
        <v>141</v>
      </c>
      <c r="L92" s="279"/>
      <c r="M92" s="279"/>
      <c r="N92" s="279" t="s">
        <v>142</v>
      </c>
      <c r="O92" s="279"/>
      <c r="P92" s="279"/>
      <c r="Q92" s="279" t="s">
        <v>143</v>
      </c>
      <c r="R92" s="279"/>
      <c r="S92" s="279"/>
      <c r="T92" s="279" t="s">
        <v>144</v>
      </c>
      <c r="U92" s="279"/>
      <c r="V92" s="279"/>
      <c r="W92" s="279" t="s">
        <v>145</v>
      </c>
      <c r="X92" s="279"/>
      <c r="Y92" s="279"/>
    </row>
    <row r="93" spans="2:25" ht="126.75" customHeight="1" x14ac:dyDescent="0.35">
      <c r="B93" s="305"/>
      <c r="C93" s="306"/>
      <c r="D93" s="306"/>
      <c r="E93" s="307"/>
      <c r="F93" s="277" t="s">
        <v>146</v>
      </c>
      <c r="G93" s="277"/>
      <c r="H93" s="277"/>
      <c r="I93" s="277"/>
      <c r="J93" s="278"/>
      <c r="K93" s="279" t="s">
        <v>147</v>
      </c>
      <c r="L93" s="279"/>
      <c r="M93" s="279"/>
      <c r="N93" s="279" t="s">
        <v>148</v>
      </c>
      <c r="O93" s="279"/>
      <c r="P93" s="279"/>
      <c r="Q93" s="279" t="s">
        <v>149</v>
      </c>
      <c r="R93" s="279"/>
      <c r="S93" s="279"/>
      <c r="T93" s="279" t="s">
        <v>150</v>
      </c>
      <c r="U93" s="279"/>
      <c r="V93" s="279"/>
      <c r="W93" s="279" t="s">
        <v>151</v>
      </c>
      <c r="X93" s="279"/>
      <c r="Y93" s="279"/>
    </row>
    <row r="94" spans="2:25" ht="6.75" customHeight="1" x14ac:dyDescent="0.35">
      <c r="B94" s="305"/>
      <c r="C94" s="306"/>
      <c r="D94" s="306"/>
      <c r="E94" s="307"/>
      <c r="F94" s="18"/>
      <c r="G94" s="18"/>
      <c r="H94" s="18"/>
      <c r="I94" s="18"/>
      <c r="J94" s="18"/>
      <c r="K94" s="19"/>
      <c r="L94" s="19"/>
      <c r="M94" s="19"/>
      <c r="N94" s="19"/>
      <c r="O94" s="19"/>
      <c r="P94" s="19"/>
      <c r="Q94" s="19"/>
      <c r="R94" s="19"/>
      <c r="S94" s="19"/>
      <c r="T94" s="19"/>
      <c r="U94" s="19"/>
      <c r="V94" s="19"/>
      <c r="W94" s="19"/>
      <c r="X94" s="19"/>
      <c r="Y94" s="19"/>
    </row>
    <row r="95" spans="2:25" ht="32.25" customHeight="1" x14ac:dyDescent="0.35">
      <c r="B95" s="305"/>
      <c r="C95" s="306"/>
      <c r="D95" s="306"/>
      <c r="E95" s="307"/>
      <c r="F95" s="262" t="s">
        <v>152</v>
      </c>
      <c r="G95" s="262"/>
      <c r="H95" s="262"/>
      <c r="I95" s="262"/>
      <c r="J95" s="262"/>
      <c r="K95" s="262"/>
      <c r="L95" s="262"/>
      <c r="M95" s="262"/>
      <c r="N95" s="262"/>
      <c r="O95" s="262"/>
      <c r="P95" s="262"/>
      <c r="Q95" s="262"/>
      <c r="R95" s="262"/>
      <c r="S95" s="262"/>
      <c r="T95" s="262"/>
      <c r="U95" s="262"/>
      <c r="V95" s="262"/>
      <c r="W95" s="262"/>
      <c r="X95" s="262"/>
      <c r="Y95" s="262"/>
    </row>
    <row r="96" spans="2:25" ht="14.25" customHeight="1" x14ac:dyDescent="0.35">
      <c r="B96" s="305"/>
      <c r="C96" s="306"/>
      <c r="D96" s="306"/>
      <c r="E96" s="307"/>
      <c r="F96" s="287" t="s">
        <v>153</v>
      </c>
      <c r="G96" s="287"/>
      <c r="H96" s="287"/>
      <c r="I96" s="287"/>
      <c r="J96" s="287"/>
      <c r="K96" s="287"/>
      <c r="L96" s="287"/>
      <c r="M96" s="287"/>
      <c r="N96" s="287"/>
      <c r="O96" s="287"/>
      <c r="P96" s="287"/>
      <c r="Q96" s="287"/>
      <c r="R96" s="287"/>
      <c r="S96" s="287"/>
      <c r="T96" s="287"/>
      <c r="U96" s="287"/>
      <c r="V96" s="287"/>
      <c r="W96" s="287"/>
      <c r="X96" s="287"/>
      <c r="Y96" s="287"/>
    </row>
    <row r="97" spans="2:25" ht="21" customHeight="1" x14ac:dyDescent="0.35">
      <c r="B97" s="305"/>
      <c r="C97" s="306"/>
      <c r="D97" s="306"/>
      <c r="E97" s="307"/>
      <c r="F97" s="288" t="s">
        <v>43</v>
      </c>
      <c r="G97" s="8" t="s">
        <v>29</v>
      </c>
      <c r="H97" s="286" t="s">
        <v>154</v>
      </c>
      <c r="I97" s="286"/>
      <c r="J97" s="286"/>
      <c r="K97" s="284" t="s">
        <v>44</v>
      </c>
      <c r="L97" s="284"/>
      <c r="M97" s="284"/>
      <c r="N97" s="284" t="s">
        <v>45</v>
      </c>
      <c r="O97" s="284"/>
      <c r="P97" s="284"/>
      <c r="Q97" s="285" t="s">
        <v>46</v>
      </c>
      <c r="R97" s="285"/>
      <c r="S97" s="285"/>
      <c r="T97" s="289" t="s">
        <v>47</v>
      </c>
      <c r="U97" s="289"/>
      <c r="V97" s="289"/>
      <c r="W97" s="289" t="s">
        <v>48</v>
      </c>
      <c r="X97" s="289"/>
      <c r="Y97" s="289"/>
    </row>
    <row r="98" spans="2:25" ht="21" customHeight="1" x14ac:dyDescent="0.35">
      <c r="B98" s="305"/>
      <c r="C98" s="306"/>
      <c r="D98" s="306"/>
      <c r="E98" s="307"/>
      <c r="F98" s="288"/>
      <c r="G98" s="8" t="s">
        <v>28</v>
      </c>
      <c r="H98" s="286" t="s">
        <v>155</v>
      </c>
      <c r="I98" s="286"/>
      <c r="J98" s="286"/>
      <c r="K98" s="284" t="s">
        <v>49</v>
      </c>
      <c r="L98" s="284"/>
      <c r="M98" s="284"/>
      <c r="N98" s="284" t="s">
        <v>50</v>
      </c>
      <c r="O98" s="284"/>
      <c r="P98" s="284"/>
      <c r="Q98" s="285" t="s">
        <v>51</v>
      </c>
      <c r="R98" s="285"/>
      <c r="S98" s="285"/>
      <c r="T98" s="285" t="s">
        <v>52</v>
      </c>
      <c r="U98" s="285"/>
      <c r="V98" s="285"/>
      <c r="W98" s="289" t="s">
        <v>47</v>
      </c>
      <c r="X98" s="289"/>
      <c r="Y98" s="289"/>
    </row>
    <row r="99" spans="2:25" ht="21" customHeight="1" x14ac:dyDescent="0.35">
      <c r="B99" s="305"/>
      <c r="C99" s="306"/>
      <c r="D99" s="306"/>
      <c r="E99" s="307"/>
      <c r="F99" s="288"/>
      <c r="G99" s="8" t="s">
        <v>27</v>
      </c>
      <c r="H99" s="286" t="s">
        <v>156</v>
      </c>
      <c r="I99" s="286"/>
      <c r="J99" s="286"/>
      <c r="K99" s="283" t="s">
        <v>53</v>
      </c>
      <c r="L99" s="283"/>
      <c r="M99" s="283"/>
      <c r="N99" s="284" t="s">
        <v>54</v>
      </c>
      <c r="O99" s="284"/>
      <c r="P99" s="284"/>
      <c r="Q99" s="284" t="s">
        <v>55</v>
      </c>
      <c r="R99" s="284"/>
      <c r="S99" s="284"/>
      <c r="T99" s="285" t="s">
        <v>51</v>
      </c>
      <c r="U99" s="285"/>
      <c r="V99" s="285"/>
      <c r="W99" s="285" t="s">
        <v>46</v>
      </c>
      <c r="X99" s="285"/>
      <c r="Y99" s="285"/>
    </row>
    <row r="100" spans="2:25" ht="21" customHeight="1" x14ac:dyDescent="0.35">
      <c r="B100" s="305"/>
      <c r="C100" s="306"/>
      <c r="D100" s="306"/>
      <c r="E100" s="307"/>
      <c r="F100" s="288"/>
      <c r="G100" s="8" t="s">
        <v>26</v>
      </c>
      <c r="H100" s="286" t="s">
        <v>157</v>
      </c>
      <c r="I100" s="286"/>
      <c r="J100" s="286"/>
      <c r="K100" s="283" t="s">
        <v>56</v>
      </c>
      <c r="L100" s="283"/>
      <c r="M100" s="283"/>
      <c r="N100" s="283" t="s">
        <v>57</v>
      </c>
      <c r="O100" s="283"/>
      <c r="P100" s="283"/>
      <c r="Q100" s="284" t="s">
        <v>54</v>
      </c>
      <c r="R100" s="284"/>
      <c r="S100" s="284"/>
      <c r="T100" s="284" t="s">
        <v>50</v>
      </c>
      <c r="U100" s="284"/>
      <c r="V100" s="284"/>
      <c r="W100" s="284" t="s">
        <v>45</v>
      </c>
      <c r="X100" s="284"/>
      <c r="Y100" s="284"/>
    </row>
    <row r="101" spans="2:25" ht="21" customHeight="1" x14ac:dyDescent="0.35">
      <c r="B101" s="305"/>
      <c r="C101" s="306"/>
      <c r="D101" s="306"/>
      <c r="E101" s="307"/>
      <c r="F101" s="288"/>
      <c r="G101" s="8" t="s">
        <v>25</v>
      </c>
      <c r="H101" s="286" t="s">
        <v>158</v>
      </c>
      <c r="I101" s="286"/>
      <c r="J101" s="286"/>
      <c r="K101" s="283" t="s">
        <v>58</v>
      </c>
      <c r="L101" s="283"/>
      <c r="M101" s="283"/>
      <c r="N101" s="283" t="s">
        <v>56</v>
      </c>
      <c r="O101" s="283"/>
      <c r="P101" s="283"/>
      <c r="Q101" s="283" t="s">
        <v>53</v>
      </c>
      <c r="R101" s="283"/>
      <c r="S101" s="283"/>
      <c r="T101" s="283" t="s">
        <v>57</v>
      </c>
      <c r="U101" s="283"/>
      <c r="V101" s="283"/>
      <c r="W101" s="284" t="s">
        <v>44</v>
      </c>
      <c r="X101" s="284"/>
      <c r="Y101" s="284"/>
    </row>
    <row r="102" spans="2:25" ht="21" customHeight="1" x14ac:dyDescent="0.35">
      <c r="B102" s="305"/>
      <c r="C102" s="306"/>
      <c r="D102" s="306"/>
      <c r="E102" s="307"/>
      <c r="F102" s="280" t="s">
        <v>59</v>
      </c>
      <c r="G102" s="281"/>
      <c r="H102" s="281"/>
      <c r="I102" s="281"/>
      <c r="J102" s="281"/>
      <c r="K102" s="281" t="s">
        <v>60</v>
      </c>
      <c r="L102" s="281"/>
      <c r="M102" s="281"/>
      <c r="N102" s="281"/>
      <c r="O102" s="281"/>
      <c r="P102" s="281"/>
      <c r="Q102" s="281"/>
      <c r="R102" s="281"/>
      <c r="S102" s="281"/>
      <c r="T102" s="281"/>
      <c r="U102" s="281"/>
      <c r="V102" s="281"/>
      <c r="W102" s="281"/>
      <c r="X102" s="281"/>
      <c r="Y102" s="281"/>
    </row>
    <row r="103" spans="2:25" ht="21" customHeight="1" x14ac:dyDescent="0.35">
      <c r="B103" s="305"/>
      <c r="C103" s="306"/>
      <c r="D103" s="306"/>
      <c r="E103" s="307"/>
      <c r="F103" s="280"/>
      <c r="G103" s="281"/>
      <c r="H103" s="281"/>
      <c r="I103" s="281"/>
      <c r="J103" s="281"/>
      <c r="K103" s="282" t="s">
        <v>25</v>
      </c>
      <c r="L103" s="282"/>
      <c r="M103" s="282"/>
      <c r="N103" s="282" t="s">
        <v>26</v>
      </c>
      <c r="O103" s="282"/>
      <c r="P103" s="282"/>
      <c r="Q103" s="282" t="s">
        <v>27</v>
      </c>
      <c r="R103" s="282"/>
      <c r="S103" s="282"/>
      <c r="T103" s="282" t="s">
        <v>28</v>
      </c>
      <c r="U103" s="282"/>
      <c r="V103" s="282"/>
      <c r="W103" s="282" t="s">
        <v>29</v>
      </c>
      <c r="X103" s="282"/>
      <c r="Y103" s="282"/>
    </row>
    <row r="104" spans="2:25" ht="44.25" customHeight="1" x14ac:dyDescent="0.35">
      <c r="B104" s="305"/>
      <c r="C104" s="306"/>
      <c r="D104" s="306"/>
      <c r="E104" s="307"/>
      <c r="F104" s="277" t="s">
        <v>128</v>
      </c>
      <c r="G104" s="277"/>
      <c r="H104" s="277"/>
      <c r="I104" s="277"/>
      <c r="J104" s="278"/>
      <c r="K104" s="279" t="s">
        <v>159</v>
      </c>
      <c r="L104" s="279"/>
      <c r="M104" s="279"/>
      <c r="N104" s="279" t="s">
        <v>160</v>
      </c>
      <c r="O104" s="279"/>
      <c r="P104" s="279"/>
      <c r="Q104" s="279" t="s">
        <v>161</v>
      </c>
      <c r="R104" s="279"/>
      <c r="S104" s="279"/>
      <c r="T104" s="279" t="s">
        <v>162</v>
      </c>
      <c r="U104" s="279"/>
      <c r="V104" s="279"/>
      <c r="W104" s="279" t="s">
        <v>163</v>
      </c>
      <c r="X104" s="279"/>
      <c r="Y104" s="279"/>
    </row>
    <row r="105" spans="2:25" ht="45.75" customHeight="1" x14ac:dyDescent="0.35">
      <c r="B105" s="305"/>
      <c r="C105" s="306"/>
      <c r="D105" s="306"/>
      <c r="E105" s="307"/>
      <c r="F105" s="277" t="s">
        <v>140</v>
      </c>
      <c r="G105" s="277"/>
      <c r="H105" s="277"/>
      <c r="I105" s="277"/>
      <c r="J105" s="278"/>
      <c r="K105" s="279" t="s">
        <v>164</v>
      </c>
      <c r="L105" s="279"/>
      <c r="M105" s="279"/>
      <c r="N105" s="279" t="s">
        <v>165</v>
      </c>
      <c r="O105" s="279"/>
      <c r="P105" s="279"/>
      <c r="Q105" s="279" t="s">
        <v>166</v>
      </c>
      <c r="R105" s="279"/>
      <c r="S105" s="279"/>
      <c r="T105" s="279" t="s">
        <v>167</v>
      </c>
      <c r="U105" s="279"/>
      <c r="V105" s="279"/>
      <c r="W105" s="279" t="s">
        <v>168</v>
      </c>
      <c r="X105" s="279"/>
      <c r="Y105" s="279"/>
    </row>
    <row r="106" spans="2:25" ht="86.25" customHeight="1" x14ac:dyDescent="0.35">
      <c r="B106" s="305"/>
      <c r="C106" s="306"/>
      <c r="D106" s="306"/>
      <c r="E106" s="307"/>
      <c r="F106" s="277" t="s">
        <v>146</v>
      </c>
      <c r="G106" s="277"/>
      <c r="H106" s="277"/>
      <c r="I106" s="277"/>
      <c r="J106" s="278"/>
      <c r="K106" s="279" t="s">
        <v>169</v>
      </c>
      <c r="L106" s="279"/>
      <c r="M106" s="279"/>
      <c r="N106" s="279" t="s">
        <v>170</v>
      </c>
      <c r="O106" s="279"/>
      <c r="P106" s="279"/>
      <c r="Q106" s="279" t="s">
        <v>171</v>
      </c>
      <c r="R106" s="279"/>
      <c r="S106" s="279"/>
      <c r="T106" s="279" t="s">
        <v>172</v>
      </c>
      <c r="U106" s="279"/>
      <c r="V106" s="279"/>
      <c r="W106" s="279" t="s">
        <v>173</v>
      </c>
      <c r="X106" s="279"/>
      <c r="Y106" s="279"/>
    </row>
    <row r="107" spans="2:25" ht="12" customHeight="1" x14ac:dyDescent="0.35">
      <c r="B107" s="308"/>
      <c r="C107" s="309"/>
      <c r="D107" s="309"/>
      <c r="E107" s="310"/>
      <c r="F107" s="20"/>
      <c r="G107" s="20"/>
      <c r="H107" s="20"/>
      <c r="I107" s="20"/>
      <c r="J107" s="20"/>
      <c r="K107" s="20"/>
      <c r="L107" s="20"/>
      <c r="M107" s="20"/>
      <c r="N107" s="20"/>
      <c r="O107" s="20"/>
      <c r="P107" s="20"/>
      <c r="Q107" s="20"/>
      <c r="R107" s="20"/>
      <c r="S107" s="20"/>
      <c r="T107" s="20"/>
      <c r="U107" s="20"/>
      <c r="V107" s="20"/>
      <c r="W107" s="20"/>
      <c r="X107" s="20"/>
      <c r="Y107" s="20"/>
    </row>
    <row r="108" spans="2:25" ht="12" customHeight="1" x14ac:dyDescent="0.35">
      <c r="B108" s="249" t="s">
        <v>174</v>
      </c>
      <c r="C108" s="250"/>
      <c r="D108" s="250"/>
      <c r="E108" s="251"/>
      <c r="F108" s="258" t="s">
        <v>175</v>
      </c>
      <c r="G108" s="259"/>
      <c r="H108" s="259"/>
      <c r="I108" s="259"/>
      <c r="J108" s="259"/>
      <c r="K108" s="259"/>
      <c r="L108" s="259"/>
      <c r="M108" s="259"/>
      <c r="N108" s="259"/>
      <c r="O108" s="259"/>
      <c r="P108" s="259"/>
      <c r="Q108" s="259"/>
      <c r="R108" s="259"/>
      <c r="S108" s="259"/>
      <c r="T108" s="259"/>
      <c r="U108" s="259"/>
      <c r="V108" s="259"/>
      <c r="W108" s="259"/>
      <c r="X108" s="259"/>
      <c r="Y108" s="260"/>
    </row>
    <row r="109" spans="2:25" ht="14.25" customHeight="1" x14ac:dyDescent="0.35">
      <c r="B109" s="252"/>
      <c r="C109" s="253"/>
      <c r="D109" s="253"/>
      <c r="E109" s="254"/>
      <c r="F109" s="261"/>
      <c r="G109" s="262"/>
      <c r="H109" s="262"/>
      <c r="I109" s="262"/>
      <c r="J109" s="262"/>
      <c r="K109" s="262"/>
      <c r="L109" s="262"/>
      <c r="M109" s="262"/>
      <c r="N109" s="262"/>
      <c r="O109" s="262"/>
      <c r="P109" s="262"/>
      <c r="Q109" s="262"/>
      <c r="R109" s="262"/>
      <c r="S109" s="262"/>
      <c r="T109" s="262"/>
      <c r="U109" s="262"/>
      <c r="V109" s="262"/>
      <c r="W109" s="262"/>
      <c r="X109" s="262"/>
      <c r="Y109" s="263"/>
    </row>
    <row r="110" spans="2:25" ht="12" customHeight="1" x14ac:dyDescent="0.35">
      <c r="B110" s="252"/>
      <c r="C110" s="253"/>
      <c r="D110" s="253"/>
      <c r="E110" s="254"/>
      <c r="F110" s="261"/>
      <c r="G110" s="262"/>
      <c r="H110" s="262"/>
      <c r="I110" s="262"/>
      <c r="J110" s="262"/>
      <c r="K110" s="262"/>
      <c r="L110" s="262"/>
      <c r="M110" s="262"/>
      <c r="N110" s="262"/>
      <c r="O110" s="262"/>
      <c r="P110" s="262"/>
      <c r="Q110" s="262"/>
      <c r="R110" s="262"/>
      <c r="S110" s="262"/>
      <c r="T110" s="262"/>
      <c r="U110" s="262"/>
      <c r="V110" s="262"/>
      <c r="W110" s="262"/>
      <c r="X110" s="262"/>
      <c r="Y110" s="263"/>
    </row>
    <row r="111" spans="2:25" ht="36" customHeight="1" x14ac:dyDescent="0.35">
      <c r="B111" s="255"/>
      <c r="C111" s="256"/>
      <c r="D111" s="256"/>
      <c r="E111" s="257"/>
      <c r="F111" s="264"/>
      <c r="G111" s="265"/>
      <c r="H111" s="265"/>
      <c r="I111" s="265"/>
      <c r="J111" s="265"/>
      <c r="K111" s="265"/>
      <c r="L111" s="265"/>
      <c r="M111" s="265"/>
      <c r="N111" s="265"/>
      <c r="O111" s="265"/>
      <c r="P111" s="265"/>
      <c r="Q111" s="265"/>
      <c r="R111" s="265"/>
      <c r="S111" s="265"/>
      <c r="T111" s="265"/>
      <c r="U111" s="265"/>
      <c r="V111" s="265"/>
      <c r="W111" s="265"/>
      <c r="X111" s="265"/>
      <c r="Y111" s="266"/>
    </row>
    <row r="112" spans="2:25" ht="18.75" customHeight="1" x14ac:dyDescent="0.35">
      <c r="B112" s="238" t="s">
        <v>176</v>
      </c>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40"/>
    </row>
    <row r="113" spans="2:25" ht="98.25" customHeight="1" x14ac:dyDescent="0.35">
      <c r="B113" s="236" t="s">
        <v>177</v>
      </c>
      <c r="C113" s="236"/>
      <c r="D113" s="236"/>
      <c r="E113" s="236"/>
      <c r="F113" s="267" t="s">
        <v>718</v>
      </c>
      <c r="G113" s="267"/>
      <c r="H113" s="267"/>
      <c r="I113" s="267"/>
      <c r="J113" s="267"/>
      <c r="K113" s="267"/>
      <c r="L113" s="267"/>
      <c r="M113" s="267"/>
      <c r="N113" s="267"/>
      <c r="O113" s="267"/>
      <c r="P113" s="267"/>
      <c r="Q113" s="267"/>
      <c r="R113" s="267"/>
      <c r="S113" s="267"/>
      <c r="T113" s="267"/>
      <c r="U113" s="267"/>
      <c r="V113" s="267"/>
      <c r="W113" s="267"/>
      <c r="X113" s="267"/>
      <c r="Y113" s="267"/>
    </row>
    <row r="114" spans="2:25" ht="15.75" customHeight="1" x14ac:dyDescent="0.35">
      <c r="B114" s="268" t="s">
        <v>178</v>
      </c>
      <c r="C114" s="269"/>
      <c r="D114" s="269"/>
      <c r="E114" s="270"/>
      <c r="F114" s="274" t="s">
        <v>179</v>
      </c>
      <c r="G114" s="275"/>
      <c r="H114" s="275"/>
      <c r="I114" s="275"/>
      <c r="J114" s="275"/>
      <c r="K114" s="275"/>
      <c r="L114" s="275"/>
      <c r="M114" s="275"/>
      <c r="N114" s="275"/>
      <c r="O114" s="275"/>
      <c r="P114" s="275"/>
      <c r="Q114" s="275"/>
      <c r="R114" s="275"/>
      <c r="S114" s="275"/>
      <c r="T114" s="275"/>
      <c r="U114" s="275"/>
      <c r="V114" s="275"/>
      <c r="W114" s="275"/>
      <c r="X114" s="275"/>
      <c r="Y114" s="276"/>
    </row>
    <row r="115" spans="2:25" s="21" customFormat="1" ht="15.75" customHeight="1" x14ac:dyDescent="0.35">
      <c r="B115" s="271"/>
      <c r="C115" s="272"/>
      <c r="D115" s="272"/>
      <c r="E115" s="273"/>
      <c r="F115" s="241" t="s">
        <v>180</v>
      </c>
      <c r="G115" s="241"/>
      <c r="H115" s="241"/>
      <c r="I115" s="241"/>
      <c r="J115" s="241"/>
      <c r="K115" s="241"/>
      <c r="L115" s="241"/>
      <c r="M115" s="241"/>
      <c r="N115" s="241"/>
      <c r="O115" s="241"/>
      <c r="P115" s="241"/>
      <c r="Q115" s="241"/>
      <c r="R115" s="241"/>
      <c r="S115" s="241"/>
      <c r="T115" s="241"/>
      <c r="U115" s="241"/>
      <c r="V115" s="241"/>
      <c r="W115" s="241"/>
      <c r="X115" s="241"/>
      <c r="Y115" s="241"/>
    </row>
    <row r="116" spans="2:25" s="21" customFormat="1" ht="62.25" customHeight="1" x14ac:dyDescent="0.35">
      <c r="B116" s="271"/>
      <c r="C116" s="272"/>
      <c r="D116" s="272"/>
      <c r="E116" s="273"/>
      <c r="F116" s="244" t="s">
        <v>181</v>
      </c>
      <c r="G116" s="244"/>
      <c r="H116" s="244"/>
      <c r="I116" s="244"/>
      <c r="J116" s="244"/>
      <c r="K116" s="244"/>
      <c r="L116" s="244"/>
      <c r="M116" s="244"/>
      <c r="N116" s="244"/>
      <c r="O116" s="244"/>
      <c r="P116" s="244"/>
      <c r="Q116" s="244"/>
      <c r="R116" s="244"/>
      <c r="S116" s="244"/>
      <c r="T116" s="244"/>
      <c r="U116" s="244"/>
      <c r="V116" s="244"/>
      <c r="W116" s="244"/>
      <c r="X116" s="244"/>
      <c r="Y116" s="244"/>
    </row>
    <row r="117" spans="2:25" s="21" customFormat="1" ht="99.75" customHeight="1" x14ac:dyDescent="0.35">
      <c r="B117" s="271"/>
      <c r="C117" s="272"/>
      <c r="D117" s="272"/>
      <c r="E117" s="273"/>
      <c r="F117" s="244" t="s">
        <v>182</v>
      </c>
      <c r="G117" s="244"/>
      <c r="H117" s="244"/>
      <c r="I117" s="244"/>
      <c r="J117" s="244"/>
      <c r="K117" s="244"/>
      <c r="L117" s="244"/>
      <c r="M117" s="244"/>
      <c r="N117" s="244"/>
      <c r="O117" s="244"/>
      <c r="P117" s="244"/>
      <c r="Q117" s="244"/>
      <c r="R117" s="244"/>
      <c r="S117" s="244"/>
      <c r="T117" s="244"/>
      <c r="U117" s="244"/>
      <c r="V117" s="244"/>
      <c r="W117" s="244"/>
      <c r="X117" s="244"/>
      <c r="Y117" s="244"/>
    </row>
    <row r="118" spans="2:25" s="21" customFormat="1" ht="87.75" customHeight="1" x14ac:dyDescent="0.35">
      <c r="B118" s="271"/>
      <c r="C118" s="272"/>
      <c r="D118" s="272"/>
      <c r="E118" s="273"/>
      <c r="F118" s="244" t="s">
        <v>183</v>
      </c>
      <c r="G118" s="244"/>
      <c r="H118" s="244"/>
      <c r="I118" s="244"/>
      <c r="J118" s="244"/>
      <c r="K118" s="244"/>
      <c r="L118" s="244"/>
      <c r="M118" s="244"/>
      <c r="N118" s="244"/>
      <c r="O118" s="244"/>
      <c r="P118" s="244"/>
      <c r="Q118" s="244"/>
      <c r="R118" s="244"/>
      <c r="S118" s="244"/>
      <c r="T118" s="244"/>
      <c r="U118" s="244"/>
      <c r="V118" s="244"/>
      <c r="W118" s="244"/>
      <c r="X118" s="244"/>
      <c r="Y118" s="244"/>
    </row>
    <row r="119" spans="2:25" s="21" customFormat="1" ht="109.5" customHeight="1" x14ac:dyDescent="0.35">
      <c r="B119" s="271"/>
      <c r="C119" s="272"/>
      <c r="D119" s="272"/>
      <c r="E119" s="273"/>
      <c r="F119" s="244" t="s">
        <v>184</v>
      </c>
      <c r="G119" s="244"/>
      <c r="H119" s="244"/>
      <c r="I119" s="244"/>
      <c r="J119" s="244"/>
      <c r="K119" s="244"/>
      <c r="L119" s="244"/>
      <c r="M119" s="244"/>
      <c r="N119" s="244"/>
      <c r="O119" s="244"/>
      <c r="P119" s="244"/>
      <c r="Q119" s="244"/>
      <c r="R119" s="244"/>
      <c r="S119" s="244"/>
      <c r="T119" s="244"/>
      <c r="U119" s="244"/>
      <c r="V119" s="244"/>
      <c r="W119" s="244"/>
      <c r="X119" s="244"/>
      <c r="Y119" s="244"/>
    </row>
    <row r="120" spans="2:25" s="21" customFormat="1" ht="47.25" customHeight="1" x14ac:dyDescent="0.35">
      <c r="B120" s="271"/>
      <c r="C120" s="272"/>
      <c r="D120" s="272"/>
      <c r="E120" s="273"/>
      <c r="F120" s="244" t="s">
        <v>185</v>
      </c>
      <c r="G120" s="244"/>
      <c r="H120" s="244"/>
      <c r="I120" s="244"/>
      <c r="J120" s="244"/>
      <c r="K120" s="244"/>
      <c r="L120" s="244"/>
      <c r="M120" s="244"/>
      <c r="N120" s="244"/>
      <c r="O120" s="244"/>
      <c r="P120" s="244"/>
      <c r="Q120" s="244"/>
      <c r="R120" s="244"/>
      <c r="S120" s="244"/>
      <c r="T120" s="244"/>
      <c r="U120" s="244"/>
      <c r="V120" s="244"/>
      <c r="W120" s="244"/>
      <c r="X120" s="244"/>
      <c r="Y120" s="244"/>
    </row>
    <row r="121" spans="2:25" s="21" customFormat="1" ht="39.75" customHeight="1" x14ac:dyDescent="0.35">
      <c r="B121" s="271"/>
      <c r="C121" s="272"/>
      <c r="D121" s="272"/>
      <c r="E121" s="273"/>
      <c r="F121" s="248" t="s">
        <v>186</v>
      </c>
      <c r="G121" s="244"/>
      <c r="H121" s="244"/>
      <c r="I121" s="244"/>
      <c r="J121" s="244"/>
      <c r="K121" s="244"/>
      <c r="L121" s="244"/>
      <c r="M121" s="244"/>
      <c r="N121" s="244"/>
      <c r="O121" s="244"/>
      <c r="P121" s="244"/>
      <c r="Q121" s="244"/>
      <c r="R121" s="244"/>
      <c r="S121" s="244"/>
      <c r="T121" s="244"/>
      <c r="U121" s="244"/>
      <c r="V121" s="244"/>
      <c r="W121" s="244"/>
      <c r="X121" s="244"/>
      <c r="Y121" s="244"/>
    </row>
    <row r="122" spans="2:25" s="21" customFormat="1" ht="66" customHeight="1" x14ac:dyDescent="0.35">
      <c r="B122" s="271"/>
      <c r="C122" s="272"/>
      <c r="D122" s="272"/>
      <c r="E122" s="273"/>
      <c r="F122" s="244" t="s">
        <v>716</v>
      </c>
      <c r="G122" s="244"/>
      <c r="H122" s="244"/>
      <c r="I122" s="244"/>
      <c r="J122" s="244"/>
      <c r="K122" s="244"/>
      <c r="L122" s="244"/>
      <c r="M122" s="244"/>
      <c r="N122" s="244"/>
      <c r="O122" s="244"/>
      <c r="P122" s="244"/>
      <c r="Q122" s="244"/>
      <c r="R122" s="244"/>
      <c r="S122" s="244"/>
      <c r="T122" s="244"/>
      <c r="U122" s="244"/>
      <c r="V122" s="244"/>
      <c r="W122" s="244"/>
      <c r="X122" s="244"/>
      <c r="Y122" s="244"/>
    </row>
    <row r="123" spans="2:25" s="21" customFormat="1" ht="68.25" customHeight="1" x14ac:dyDescent="0.35">
      <c r="B123" s="271"/>
      <c r="C123" s="272"/>
      <c r="D123" s="272"/>
      <c r="E123" s="273"/>
      <c r="F123" s="244" t="s">
        <v>187</v>
      </c>
      <c r="G123" s="244"/>
      <c r="H123" s="244"/>
      <c r="I123" s="244"/>
      <c r="J123" s="244"/>
      <c r="K123" s="244"/>
      <c r="L123" s="244"/>
      <c r="M123" s="244"/>
      <c r="N123" s="244"/>
      <c r="O123" s="244"/>
      <c r="P123" s="244"/>
      <c r="Q123" s="244"/>
      <c r="R123" s="244"/>
      <c r="S123" s="244"/>
      <c r="T123" s="244"/>
      <c r="U123" s="244"/>
      <c r="V123" s="244"/>
      <c r="W123" s="244"/>
      <c r="X123" s="244"/>
      <c r="Y123" s="244"/>
    </row>
    <row r="124" spans="2:25" s="21" customFormat="1" ht="15.75" customHeight="1" x14ac:dyDescent="0.35">
      <c r="B124" s="271"/>
      <c r="C124" s="272"/>
      <c r="D124" s="272"/>
      <c r="E124" s="273"/>
      <c r="F124" s="245" t="s">
        <v>188</v>
      </c>
      <c r="G124" s="246"/>
      <c r="H124" s="246"/>
      <c r="I124" s="246"/>
      <c r="J124" s="246"/>
      <c r="K124" s="246"/>
      <c r="L124" s="246"/>
      <c r="M124" s="246"/>
      <c r="N124" s="246"/>
      <c r="O124" s="246"/>
      <c r="P124" s="246"/>
      <c r="Q124" s="246"/>
      <c r="R124" s="246"/>
      <c r="S124" s="246"/>
      <c r="T124" s="246"/>
      <c r="U124" s="246"/>
      <c r="V124" s="246"/>
      <c r="W124" s="246"/>
      <c r="X124" s="246"/>
      <c r="Y124" s="247"/>
    </row>
    <row r="125" spans="2:25" s="21" customFormat="1" ht="60.75" customHeight="1" x14ac:dyDescent="0.35">
      <c r="B125" s="271"/>
      <c r="C125" s="272"/>
      <c r="D125" s="272"/>
      <c r="E125" s="273"/>
      <c r="F125" s="244" t="s">
        <v>189</v>
      </c>
      <c r="G125" s="244"/>
      <c r="H125" s="244"/>
      <c r="I125" s="244"/>
      <c r="J125" s="244"/>
      <c r="K125" s="244"/>
      <c r="L125" s="244"/>
      <c r="M125" s="244"/>
      <c r="N125" s="244"/>
      <c r="O125" s="244"/>
      <c r="P125" s="244"/>
      <c r="Q125" s="244"/>
      <c r="R125" s="244"/>
      <c r="S125" s="244"/>
      <c r="T125" s="244"/>
      <c r="U125" s="244"/>
      <c r="V125" s="244"/>
      <c r="W125" s="244"/>
      <c r="X125" s="244"/>
      <c r="Y125" s="244"/>
    </row>
    <row r="126" spans="2:25" s="21" customFormat="1" ht="61.5" customHeight="1" x14ac:dyDescent="0.35">
      <c r="B126" s="271"/>
      <c r="C126" s="272"/>
      <c r="D126" s="272"/>
      <c r="E126" s="273"/>
      <c r="F126" s="244" t="s">
        <v>190</v>
      </c>
      <c r="G126" s="244"/>
      <c r="H126" s="244"/>
      <c r="I126" s="244"/>
      <c r="J126" s="244"/>
      <c r="K126" s="244"/>
      <c r="L126" s="244"/>
      <c r="M126" s="244"/>
      <c r="N126" s="244"/>
      <c r="O126" s="244"/>
      <c r="P126" s="244"/>
      <c r="Q126" s="244"/>
      <c r="R126" s="244"/>
      <c r="S126" s="244"/>
      <c r="T126" s="244"/>
      <c r="U126" s="244"/>
      <c r="V126" s="244"/>
      <c r="W126" s="244"/>
      <c r="X126" s="244"/>
      <c r="Y126" s="244"/>
    </row>
    <row r="127" spans="2:25" s="21" customFormat="1" ht="18" customHeight="1" x14ac:dyDescent="0.35">
      <c r="B127" s="271"/>
      <c r="C127" s="272"/>
      <c r="D127" s="272"/>
      <c r="E127" s="273"/>
      <c r="F127" s="244" t="s">
        <v>191</v>
      </c>
      <c r="G127" s="244"/>
      <c r="H127" s="244"/>
      <c r="I127" s="244"/>
      <c r="J127" s="244"/>
      <c r="K127" s="244"/>
      <c r="L127" s="244"/>
      <c r="M127" s="244"/>
      <c r="N127" s="244"/>
      <c r="O127" s="244"/>
      <c r="P127" s="244"/>
      <c r="Q127" s="244"/>
      <c r="R127" s="244"/>
      <c r="S127" s="244"/>
      <c r="T127" s="244"/>
      <c r="U127" s="244"/>
      <c r="V127" s="244"/>
      <c r="W127" s="244"/>
      <c r="X127" s="244"/>
      <c r="Y127" s="244"/>
    </row>
    <row r="128" spans="2:25" s="21" customFormat="1" ht="46.5" customHeight="1" x14ac:dyDescent="0.35">
      <c r="B128" s="271"/>
      <c r="C128" s="272"/>
      <c r="D128" s="272"/>
      <c r="E128" s="273"/>
      <c r="F128" s="244" t="s">
        <v>192</v>
      </c>
      <c r="G128" s="244"/>
      <c r="H128" s="244"/>
      <c r="I128" s="244"/>
      <c r="J128" s="244"/>
      <c r="K128" s="244"/>
      <c r="L128" s="244"/>
      <c r="M128" s="244"/>
      <c r="N128" s="244"/>
      <c r="O128" s="244"/>
      <c r="P128" s="244"/>
      <c r="Q128" s="244"/>
      <c r="R128" s="244"/>
      <c r="S128" s="244"/>
      <c r="T128" s="244"/>
      <c r="U128" s="244"/>
      <c r="V128" s="244"/>
      <c r="W128" s="244"/>
      <c r="X128" s="244"/>
      <c r="Y128" s="244"/>
    </row>
    <row r="129" spans="2:25" s="21" customFormat="1" ht="65.25" customHeight="1" x14ac:dyDescent="0.35">
      <c r="B129" s="271"/>
      <c r="C129" s="272"/>
      <c r="D129" s="272"/>
      <c r="E129" s="273"/>
      <c r="F129" s="244" t="s">
        <v>193</v>
      </c>
      <c r="G129" s="244"/>
      <c r="H129" s="244"/>
      <c r="I129" s="244"/>
      <c r="J129" s="244"/>
      <c r="K129" s="244"/>
      <c r="L129" s="244"/>
      <c r="M129" s="244"/>
      <c r="N129" s="244"/>
      <c r="O129" s="244"/>
      <c r="P129" s="244"/>
      <c r="Q129" s="244"/>
      <c r="R129" s="244"/>
      <c r="S129" s="244"/>
      <c r="T129" s="244"/>
      <c r="U129" s="244"/>
      <c r="V129" s="244"/>
      <c r="W129" s="244"/>
      <c r="X129" s="244"/>
      <c r="Y129" s="244"/>
    </row>
    <row r="130" spans="2:25" s="22" customFormat="1" ht="35.25" customHeight="1" x14ac:dyDescent="0.3">
      <c r="B130" s="236" t="s">
        <v>194</v>
      </c>
      <c r="C130" s="242"/>
      <c r="D130" s="242"/>
      <c r="E130" s="242"/>
      <c r="F130" s="237" t="s">
        <v>195</v>
      </c>
      <c r="G130" s="237"/>
      <c r="H130" s="237"/>
      <c r="I130" s="237"/>
      <c r="J130" s="237"/>
      <c r="K130" s="237"/>
      <c r="L130" s="237"/>
      <c r="M130" s="237"/>
      <c r="N130" s="237"/>
      <c r="O130" s="237"/>
      <c r="P130" s="237"/>
      <c r="Q130" s="237"/>
      <c r="R130" s="237"/>
      <c r="S130" s="237"/>
      <c r="T130" s="237"/>
      <c r="U130" s="237"/>
      <c r="V130" s="237"/>
      <c r="W130" s="237"/>
      <c r="X130" s="237"/>
      <c r="Y130" s="237"/>
    </row>
    <row r="131" spans="2:25" s="22" customFormat="1" ht="60.75" customHeight="1" x14ac:dyDescent="0.3">
      <c r="B131" s="236" t="s">
        <v>196</v>
      </c>
      <c r="C131" s="242"/>
      <c r="D131" s="242"/>
      <c r="E131" s="242"/>
      <c r="F131" s="243" t="s">
        <v>197</v>
      </c>
      <c r="G131" s="243"/>
      <c r="H131" s="243"/>
      <c r="I131" s="243"/>
      <c r="J131" s="243"/>
      <c r="K131" s="243"/>
      <c r="L131" s="243"/>
      <c r="M131" s="243"/>
      <c r="N131" s="243"/>
      <c r="O131" s="243"/>
      <c r="P131" s="243"/>
      <c r="Q131" s="243"/>
      <c r="R131" s="243"/>
      <c r="S131" s="243"/>
      <c r="T131" s="243"/>
      <c r="U131" s="243"/>
      <c r="V131" s="243"/>
      <c r="W131" s="243"/>
      <c r="X131" s="243"/>
      <c r="Y131" s="243"/>
    </row>
    <row r="132" spans="2:25" s="22" customFormat="1" ht="129.75" customHeight="1" x14ac:dyDescent="0.3">
      <c r="B132" s="236" t="s">
        <v>198</v>
      </c>
      <c r="C132" s="242"/>
      <c r="D132" s="242"/>
      <c r="E132" s="242"/>
      <c r="F132" s="244" t="s">
        <v>199</v>
      </c>
      <c r="G132" s="244"/>
      <c r="H132" s="244"/>
      <c r="I132" s="244"/>
      <c r="J132" s="244"/>
      <c r="K132" s="244"/>
      <c r="L132" s="244"/>
      <c r="M132" s="244"/>
      <c r="N132" s="244"/>
      <c r="O132" s="244"/>
      <c r="P132" s="244"/>
      <c r="Q132" s="244"/>
      <c r="R132" s="244"/>
      <c r="S132" s="244"/>
      <c r="T132" s="244"/>
      <c r="U132" s="244"/>
      <c r="V132" s="244"/>
      <c r="W132" s="244"/>
      <c r="X132" s="244"/>
      <c r="Y132" s="244"/>
    </row>
    <row r="133" spans="2:25" s="22" customFormat="1" ht="32.25" customHeight="1" x14ac:dyDescent="0.3">
      <c r="B133" s="236" t="s">
        <v>200</v>
      </c>
      <c r="C133" s="242"/>
      <c r="D133" s="242"/>
      <c r="E133" s="242"/>
      <c r="F133" s="237" t="s">
        <v>201</v>
      </c>
      <c r="G133" s="237"/>
      <c r="H133" s="237"/>
      <c r="I133" s="237"/>
      <c r="J133" s="237"/>
      <c r="K133" s="237"/>
      <c r="L133" s="237"/>
      <c r="M133" s="237"/>
      <c r="N133" s="237"/>
      <c r="O133" s="237"/>
      <c r="P133" s="237"/>
      <c r="Q133" s="237"/>
      <c r="R133" s="237"/>
      <c r="S133" s="237"/>
      <c r="T133" s="237"/>
      <c r="U133" s="237"/>
      <c r="V133" s="237"/>
      <c r="W133" s="237"/>
      <c r="X133" s="237"/>
      <c r="Y133" s="237"/>
    </row>
    <row r="134" spans="2:25" s="22" customFormat="1" ht="18.75" customHeight="1" x14ac:dyDescent="0.3">
      <c r="B134" s="238" t="s">
        <v>202</v>
      </c>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40"/>
    </row>
    <row r="135" spans="2:25" s="22" customFormat="1" ht="96" customHeight="1" x14ac:dyDescent="0.3">
      <c r="B135" s="242" t="s">
        <v>203</v>
      </c>
      <c r="C135" s="242"/>
      <c r="D135" s="242"/>
      <c r="E135" s="242"/>
      <c r="F135" s="237" t="s">
        <v>204</v>
      </c>
      <c r="G135" s="237"/>
      <c r="H135" s="237"/>
      <c r="I135" s="237"/>
      <c r="J135" s="237"/>
      <c r="K135" s="237"/>
      <c r="L135" s="237"/>
      <c r="M135" s="237"/>
      <c r="N135" s="237"/>
      <c r="O135" s="237"/>
      <c r="P135" s="237"/>
      <c r="Q135" s="237"/>
      <c r="R135" s="237"/>
      <c r="S135" s="237"/>
      <c r="T135" s="237"/>
      <c r="U135" s="237"/>
      <c r="V135" s="237"/>
      <c r="W135" s="237"/>
      <c r="X135" s="237"/>
      <c r="Y135" s="237"/>
    </row>
    <row r="136" spans="2:25" s="22" customFormat="1" ht="86.25" customHeight="1" x14ac:dyDescent="0.3">
      <c r="B136" s="236" t="s">
        <v>205</v>
      </c>
      <c r="C136" s="236"/>
      <c r="D136" s="236"/>
      <c r="E136" s="236"/>
      <c r="F136" s="237" t="s">
        <v>206</v>
      </c>
      <c r="G136" s="237"/>
      <c r="H136" s="237"/>
      <c r="I136" s="237"/>
      <c r="J136" s="237"/>
      <c r="K136" s="237"/>
      <c r="L136" s="237"/>
      <c r="M136" s="237"/>
      <c r="N136" s="237"/>
      <c r="O136" s="237"/>
      <c r="P136" s="237"/>
      <c r="Q136" s="237"/>
      <c r="R136" s="237"/>
      <c r="S136" s="237"/>
      <c r="T136" s="237"/>
      <c r="U136" s="237"/>
      <c r="V136" s="237"/>
      <c r="W136" s="237"/>
      <c r="X136" s="237"/>
      <c r="Y136" s="237"/>
    </row>
    <row r="137" spans="2:25" ht="74.25" customHeight="1" x14ac:dyDescent="0.35">
      <c r="B137" s="236" t="s">
        <v>207</v>
      </c>
      <c r="C137" s="236"/>
      <c r="D137" s="236"/>
      <c r="E137" s="236"/>
      <c r="F137" s="237" t="s">
        <v>208</v>
      </c>
      <c r="G137" s="237"/>
      <c r="H137" s="237"/>
      <c r="I137" s="237"/>
      <c r="J137" s="237"/>
      <c r="K137" s="237"/>
      <c r="L137" s="237"/>
      <c r="M137" s="237"/>
      <c r="N137" s="237"/>
      <c r="O137" s="237"/>
      <c r="P137" s="237"/>
      <c r="Q137" s="237"/>
      <c r="R137" s="237"/>
      <c r="S137" s="237"/>
      <c r="T137" s="237"/>
      <c r="U137" s="237"/>
      <c r="V137" s="237"/>
      <c r="W137" s="237"/>
      <c r="X137" s="237"/>
      <c r="Y137" s="237"/>
    </row>
    <row r="138" spans="2:25" ht="18" customHeight="1" x14ac:dyDescent="0.35">
      <c r="B138" s="238" t="s">
        <v>209</v>
      </c>
      <c r="C138" s="239"/>
      <c r="D138" s="239"/>
      <c r="E138" s="239"/>
      <c r="F138" s="239"/>
      <c r="G138" s="239"/>
      <c r="H138" s="239"/>
      <c r="I138" s="239"/>
      <c r="J138" s="239"/>
      <c r="K138" s="239"/>
      <c r="L138" s="239"/>
      <c r="M138" s="239"/>
      <c r="N138" s="239"/>
      <c r="O138" s="239"/>
      <c r="P138" s="239"/>
      <c r="Q138" s="239"/>
      <c r="R138" s="239"/>
      <c r="S138" s="239"/>
      <c r="T138" s="239"/>
      <c r="U138" s="239"/>
      <c r="V138" s="239"/>
      <c r="W138" s="239"/>
      <c r="X138" s="239"/>
      <c r="Y138" s="240"/>
    </row>
    <row r="139" spans="2:25" ht="243" customHeight="1" x14ac:dyDescent="0.35">
      <c r="B139" s="236" t="s">
        <v>210</v>
      </c>
      <c r="C139" s="236"/>
      <c r="D139" s="236"/>
      <c r="E139" s="236"/>
      <c r="F139" s="241" t="s">
        <v>211</v>
      </c>
      <c r="G139" s="241"/>
      <c r="H139" s="241"/>
      <c r="I139" s="241"/>
      <c r="J139" s="241"/>
      <c r="K139" s="241"/>
      <c r="L139" s="241"/>
      <c r="M139" s="241"/>
      <c r="N139" s="241"/>
      <c r="O139" s="241"/>
      <c r="P139" s="241"/>
      <c r="Q139" s="241"/>
      <c r="R139" s="241"/>
      <c r="S139" s="241"/>
      <c r="T139" s="241"/>
      <c r="U139" s="241"/>
      <c r="V139" s="241"/>
      <c r="W139" s="241"/>
      <c r="X139" s="241"/>
      <c r="Y139" s="241"/>
    </row>
    <row r="140" spans="2:25" ht="33.75" customHeight="1" x14ac:dyDescent="0.35">
      <c r="B140" s="236" t="s">
        <v>212</v>
      </c>
      <c r="C140" s="236"/>
      <c r="D140" s="236"/>
      <c r="E140" s="236"/>
      <c r="F140" s="241" t="s">
        <v>213</v>
      </c>
      <c r="G140" s="241"/>
      <c r="H140" s="241"/>
      <c r="I140" s="241"/>
      <c r="J140" s="241"/>
      <c r="K140" s="241"/>
      <c r="L140" s="241"/>
      <c r="M140" s="241"/>
      <c r="N140" s="241"/>
      <c r="O140" s="241"/>
      <c r="P140" s="241"/>
      <c r="Q140" s="241"/>
      <c r="R140" s="241"/>
      <c r="S140" s="241"/>
      <c r="T140" s="241"/>
      <c r="U140" s="241"/>
      <c r="V140" s="241"/>
      <c r="W140" s="241"/>
      <c r="X140" s="241"/>
      <c r="Y140" s="241"/>
    </row>
    <row r="141" spans="2:25" ht="12.75" customHeight="1" x14ac:dyDescent="0.35"/>
    <row r="142" spans="2:25" ht="14.5" x14ac:dyDescent="0.35"/>
    <row r="143" spans="2:25" ht="14.5" x14ac:dyDescent="0.35"/>
    <row r="144" spans="2:25"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sheetData>
  <mergeCells count="326">
    <mergeCell ref="B11:E11"/>
    <mergeCell ref="F11:Y11"/>
    <mergeCell ref="B12:E12"/>
    <mergeCell ref="F12:Y12"/>
    <mergeCell ref="B13:E13"/>
    <mergeCell ref="F13:Y13"/>
    <mergeCell ref="B1:E5"/>
    <mergeCell ref="F1:Y5"/>
    <mergeCell ref="B7:Y7"/>
    <mergeCell ref="B9:E9"/>
    <mergeCell ref="F9:Y9"/>
    <mergeCell ref="B10:Y10"/>
    <mergeCell ref="H25:I25"/>
    <mergeCell ref="J25:K25"/>
    <mergeCell ref="L25:W25"/>
    <mergeCell ref="X25:Y25"/>
    <mergeCell ref="H26:I26"/>
    <mergeCell ref="J26:K26"/>
    <mergeCell ref="L26:W26"/>
    <mergeCell ref="X26:Y26"/>
    <mergeCell ref="H23:I23"/>
    <mergeCell ref="J23:K23"/>
    <mergeCell ref="L23:W23"/>
    <mergeCell ref="X23:Y23"/>
    <mergeCell ref="H24:I24"/>
    <mergeCell ref="J24:K24"/>
    <mergeCell ref="L24:W24"/>
    <mergeCell ref="X24:Y24"/>
    <mergeCell ref="F28:Y30"/>
    <mergeCell ref="F31:Y31"/>
    <mergeCell ref="F32:J33"/>
    <mergeCell ref="K32:Y32"/>
    <mergeCell ref="K33:M33"/>
    <mergeCell ref="N33:P33"/>
    <mergeCell ref="Q33:S33"/>
    <mergeCell ref="T33:V33"/>
    <mergeCell ref="W33:Y33"/>
    <mergeCell ref="F35:J35"/>
    <mergeCell ref="K35:M35"/>
    <mergeCell ref="N35:P35"/>
    <mergeCell ref="Q35:S35"/>
    <mergeCell ref="T35:V35"/>
    <mergeCell ref="W35:Y35"/>
    <mergeCell ref="F34:J34"/>
    <mergeCell ref="K34:M34"/>
    <mergeCell ref="N34:P34"/>
    <mergeCell ref="Q34:S34"/>
    <mergeCell ref="T34:V34"/>
    <mergeCell ref="W34:Y34"/>
    <mergeCell ref="H41:J41"/>
    <mergeCell ref="K41:M41"/>
    <mergeCell ref="N41:P41"/>
    <mergeCell ref="Q41:S41"/>
    <mergeCell ref="T41:V41"/>
    <mergeCell ref="W41:Y41"/>
    <mergeCell ref="F36:Y36"/>
    <mergeCell ref="F37:Y38"/>
    <mergeCell ref="F39:Y39"/>
    <mergeCell ref="F40:F44"/>
    <mergeCell ref="H40:J40"/>
    <mergeCell ref="K40:M40"/>
    <mergeCell ref="N40:P40"/>
    <mergeCell ref="Q40:S40"/>
    <mergeCell ref="T40:V40"/>
    <mergeCell ref="W40:Y40"/>
    <mergeCell ref="H43:J43"/>
    <mergeCell ref="K43:M43"/>
    <mergeCell ref="N43:P43"/>
    <mergeCell ref="Q43:S43"/>
    <mergeCell ref="T43:V43"/>
    <mergeCell ref="W43:Y43"/>
    <mergeCell ref="H42:J42"/>
    <mergeCell ref="K42:M42"/>
    <mergeCell ref="N42:P42"/>
    <mergeCell ref="Q42:S42"/>
    <mergeCell ref="T42:V42"/>
    <mergeCell ref="W42:Y42"/>
    <mergeCell ref="F45:J46"/>
    <mergeCell ref="K45:Y45"/>
    <mergeCell ref="K46:M46"/>
    <mergeCell ref="N46:P46"/>
    <mergeCell ref="Q46:S46"/>
    <mergeCell ref="T46:V46"/>
    <mergeCell ref="W46:Y46"/>
    <mergeCell ref="H44:J44"/>
    <mergeCell ref="K44:M44"/>
    <mergeCell ref="N44:P44"/>
    <mergeCell ref="Q44:S44"/>
    <mergeCell ref="T44:V44"/>
    <mergeCell ref="W44:Y44"/>
    <mergeCell ref="N48:P48"/>
    <mergeCell ref="Q48:S48"/>
    <mergeCell ref="T48:V48"/>
    <mergeCell ref="W48:Y48"/>
    <mergeCell ref="F47:J47"/>
    <mergeCell ref="K47:M47"/>
    <mergeCell ref="N47:P47"/>
    <mergeCell ref="Q47:S47"/>
    <mergeCell ref="T47:V47"/>
    <mergeCell ref="W47:Y47"/>
    <mergeCell ref="B54:E54"/>
    <mergeCell ref="F54:Y54"/>
    <mergeCell ref="B55:E55"/>
    <mergeCell ref="F55:Y55"/>
    <mergeCell ref="B56:E56"/>
    <mergeCell ref="F56:Y56"/>
    <mergeCell ref="F50:Y50"/>
    <mergeCell ref="B51:Y51"/>
    <mergeCell ref="B52:E52"/>
    <mergeCell ref="F52:Y52"/>
    <mergeCell ref="B53:E53"/>
    <mergeCell ref="F53:Y53"/>
    <mergeCell ref="B14:E50"/>
    <mergeCell ref="F14:Y19"/>
    <mergeCell ref="H21:I21"/>
    <mergeCell ref="J21:K21"/>
    <mergeCell ref="L21:W21"/>
    <mergeCell ref="X21:Y21"/>
    <mergeCell ref="H22:I22"/>
    <mergeCell ref="J22:K22"/>
    <mergeCell ref="L22:W22"/>
    <mergeCell ref="X22:Y22"/>
    <mergeCell ref="F48:J48"/>
    <mergeCell ref="K48:M48"/>
    <mergeCell ref="F66:Y66"/>
    <mergeCell ref="F67:Y67"/>
    <mergeCell ref="F68:Y68"/>
    <mergeCell ref="B69:Y69"/>
    <mergeCell ref="B70:E78"/>
    <mergeCell ref="F70:Y70"/>
    <mergeCell ref="H71:W71"/>
    <mergeCell ref="H72:I72"/>
    <mergeCell ref="J72:M72"/>
    <mergeCell ref="N72:W72"/>
    <mergeCell ref="B57:E68"/>
    <mergeCell ref="F57:Y57"/>
    <mergeCell ref="F58:Y58"/>
    <mergeCell ref="F59:Y59"/>
    <mergeCell ref="F60:Y60"/>
    <mergeCell ref="F61:Y61"/>
    <mergeCell ref="F62:Y62"/>
    <mergeCell ref="F63:Y63"/>
    <mergeCell ref="F64:Y64"/>
    <mergeCell ref="F65:Y65"/>
    <mergeCell ref="H75:I75"/>
    <mergeCell ref="J75:M75"/>
    <mergeCell ref="N75:W75"/>
    <mergeCell ref="H76:I76"/>
    <mergeCell ref="J76:M76"/>
    <mergeCell ref="N76:W76"/>
    <mergeCell ref="H73:I73"/>
    <mergeCell ref="J73:M73"/>
    <mergeCell ref="N73:W73"/>
    <mergeCell ref="H74:I74"/>
    <mergeCell ref="J74:M74"/>
    <mergeCell ref="N74:W74"/>
    <mergeCell ref="H77:I77"/>
    <mergeCell ref="J77:M77"/>
    <mergeCell ref="N77:W77"/>
    <mergeCell ref="B79:E107"/>
    <mergeCell ref="F79:Y79"/>
    <mergeCell ref="F80:Y80"/>
    <mergeCell ref="F81:Y81"/>
    <mergeCell ref="F82:Y82"/>
    <mergeCell ref="F83:F87"/>
    <mergeCell ref="H83:J83"/>
    <mergeCell ref="K83:M83"/>
    <mergeCell ref="N83:P83"/>
    <mergeCell ref="Q83:S83"/>
    <mergeCell ref="T83:V83"/>
    <mergeCell ref="W83:Y83"/>
    <mergeCell ref="H84:J84"/>
    <mergeCell ref="K84:M84"/>
    <mergeCell ref="N84:P84"/>
    <mergeCell ref="Q84:S84"/>
    <mergeCell ref="T84:V84"/>
    <mergeCell ref="H86:J86"/>
    <mergeCell ref="K86:M86"/>
    <mergeCell ref="N86:P86"/>
    <mergeCell ref="Q86:S86"/>
    <mergeCell ref="T86:V86"/>
    <mergeCell ref="W86:Y86"/>
    <mergeCell ref="W84:Y84"/>
    <mergeCell ref="H85:J85"/>
    <mergeCell ref="K85:M85"/>
    <mergeCell ref="N85:P85"/>
    <mergeCell ref="Q85:S85"/>
    <mergeCell ref="T85:V85"/>
    <mergeCell ref="W85:Y85"/>
    <mergeCell ref="F88:J89"/>
    <mergeCell ref="K88:Y88"/>
    <mergeCell ref="K89:M89"/>
    <mergeCell ref="N89:P89"/>
    <mergeCell ref="Q89:S89"/>
    <mergeCell ref="T89:V89"/>
    <mergeCell ref="W89:Y89"/>
    <mergeCell ref="H87:J87"/>
    <mergeCell ref="K87:M87"/>
    <mergeCell ref="N87:P87"/>
    <mergeCell ref="Q87:S87"/>
    <mergeCell ref="T87:V87"/>
    <mergeCell ref="W87:Y87"/>
    <mergeCell ref="F91:J91"/>
    <mergeCell ref="K91:M91"/>
    <mergeCell ref="N91:P91"/>
    <mergeCell ref="Q91:S91"/>
    <mergeCell ref="T91:V91"/>
    <mergeCell ref="W91:Y91"/>
    <mergeCell ref="F90:J90"/>
    <mergeCell ref="K90:M90"/>
    <mergeCell ref="N90:P90"/>
    <mergeCell ref="Q90:S90"/>
    <mergeCell ref="T90:V90"/>
    <mergeCell ref="W90:Y90"/>
    <mergeCell ref="F93:J93"/>
    <mergeCell ref="K93:M93"/>
    <mergeCell ref="N93:P93"/>
    <mergeCell ref="Q93:S93"/>
    <mergeCell ref="T93:V93"/>
    <mergeCell ref="W93:Y93"/>
    <mergeCell ref="F92:J92"/>
    <mergeCell ref="K92:M92"/>
    <mergeCell ref="N92:P92"/>
    <mergeCell ref="Q92:S92"/>
    <mergeCell ref="T92:V92"/>
    <mergeCell ref="W92:Y92"/>
    <mergeCell ref="F95:Y95"/>
    <mergeCell ref="F96:Y96"/>
    <mergeCell ref="F97:F101"/>
    <mergeCell ref="H97:J97"/>
    <mergeCell ref="K97:M97"/>
    <mergeCell ref="N97:P97"/>
    <mergeCell ref="Q97:S97"/>
    <mergeCell ref="T97:V97"/>
    <mergeCell ref="W97:Y97"/>
    <mergeCell ref="H98:J98"/>
    <mergeCell ref="K98:M98"/>
    <mergeCell ref="N98:P98"/>
    <mergeCell ref="Q98:S98"/>
    <mergeCell ref="T98:V98"/>
    <mergeCell ref="W98:Y98"/>
    <mergeCell ref="H99:J99"/>
    <mergeCell ref="K99:M99"/>
    <mergeCell ref="N99:P99"/>
    <mergeCell ref="Q99:S99"/>
    <mergeCell ref="T99:V99"/>
    <mergeCell ref="H101:J101"/>
    <mergeCell ref="K101:M101"/>
    <mergeCell ref="N101:P101"/>
    <mergeCell ref="Q101:S101"/>
    <mergeCell ref="T101:V101"/>
    <mergeCell ref="W101:Y101"/>
    <mergeCell ref="W99:Y99"/>
    <mergeCell ref="H100:J100"/>
    <mergeCell ref="K100:M100"/>
    <mergeCell ref="N100:P100"/>
    <mergeCell ref="Q100:S100"/>
    <mergeCell ref="T100:V100"/>
    <mergeCell ref="W100:Y100"/>
    <mergeCell ref="F104:J104"/>
    <mergeCell ref="K104:M104"/>
    <mergeCell ref="N104:P104"/>
    <mergeCell ref="Q104:S104"/>
    <mergeCell ref="T104:V104"/>
    <mergeCell ref="W104:Y104"/>
    <mergeCell ref="F102:J103"/>
    <mergeCell ref="K102:Y102"/>
    <mergeCell ref="K103:M103"/>
    <mergeCell ref="N103:P103"/>
    <mergeCell ref="Q103:S103"/>
    <mergeCell ref="T103:V103"/>
    <mergeCell ref="W103:Y103"/>
    <mergeCell ref="F106:J106"/>
    <mergeCell ref="K106:M106"/>
    <mergeCell ref="N106:P106"/>
    <mergeCell ref="Q106:S106"/>
    <mergeCell ref="T106:V106"/>
    <mergeCell ref="W106:Y106"/>
    <mergeCell ref="F105:J105"/>
    <mergeCell ref="K105:M105"/>
    <mergeCell ref="N105:P105"/>
    <mergeCell ref="Q105:S105"/>
    <mergeCell ref="T105:V105"/>
    <mergeCell ref="W105:Y105"/>
    <mergeCell ref="F118:Y118"/>
    <mergeCell ref="F119:Y119"/>
    <mergeCell ref="F120:Y120"/>
    <mergeCell ref="F121:Y121"/>
    <mergeCell ref="F122:Y122"/>
    <mergeCell ref="F123:Y123"/>
    <mergeCell ref="B108:E111"/>
    <mergeCell ref="F108:Y111"/>
    <mergeCell ref="B112:Y112"/>
    <mergeCell ref="B113:E113"/>
    <mergeCell ref="F113:Y113"/>
    <mergeCell ref="B114:E129"/>
    <mergeCell ref="F114:Y114"/>
    <mergeCell ref="F115:Y115"/>
    <mergeCell ref="F116:Y116"/>
    <mergeCell ref="F117:Y117"/>
    <mergeCell ref="B130:E130"/>
    <mergeCell ref="F130:Y130"/>
    <mergeCell ref="B131:E131"/>
    <mergeCell ref="F131:Y131"/>
    <mergeCell ref="B132:E132"/>
    <mergeCell ref="F132:Y132"/>
    <mergeCell ref="F124:Y124"/>
    <mergeCell ref="F125:Y125"/>
    <mergeCell ref="F126:Y126"/>
    <mergeCell ref="F127:Y127"/>
    <mergeCell ref="F128:Y128"/>
    <mergeCell ref="F129:Y129"/>
    <mergeCell ref="B137:E137"/>
    <mergeCell ref="F137:Y137"/>
    <mergeCell ref="B138:Y138"/>
    <mergeCell ref="B139:E139"/>
    <mergeCell ref="F139:Y139"/>
    <mergeCell ref="B140:E140"/>
    <mergeCell ref="F140:Y140"/>
    <mergeCell ref="B133:E133"/>
    <mergeCell ref="F133:Y133"/>
    <mergeCell ref="B134:Y134"/>
    <mergeCell ref="B135:E135"/>
    <mergeCell ref="F135:Y135"/>
    <mergeCell ref="B136:E136"/>
    <mergeCell ref="F136:Y13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theme="8" tint="-0.249977111117893"/>
  </sheetPr>
  <dimension ref="A1:P126"/>
  <sheetViews>
    <sheetView showGridLines="0" topLeftCell="A4" zoomScaleNormal="100" workbookViewId="0">
      <selection activeCell="A8" sqref="A8:B8"/>
    </sheetView>
  </sheetViews>
  <sheetFormatPr baseColWidth="10" defaultColWidth="0" defaultRowHeight="14.5" x14ac:dyDescent="0.35"/>
  <cols>
    <col min="1" max="1" width="72.5" style="23" customWidth="1"/>
    <col min="2" max="2" width="74.5" style="24" customWidth="1"/>
    <col min="3" max="3" width="5" style="1" customWidth="1"/>
    <col min="4" max="11" width="5" style="1" hidden="1" customWidth="1"/>
    <col min="12" max="16" width="5.83203125" style="1" hidden="1" customWidth="1"/>
    <col min="17" max="16384" width="10" style="1" hidden="1"/>
  </cols>
  <sheetData>
    <row r="1" spans="1:2" ht="15" customHeight="1" x14ac:dyDescent="0.35">
      <c r="A1" s="405"/>
      <c r="B1" s="408" t="s">
        <v>214</v>
      </c>
    </row>
    <row r="2" spans="1:2" x14ac:dyDescent="0.35">
      <c r="A2" s="406"/>
      <c r="B2" s="409"/>
    </row>
    <row r="3" spans="1:2" x14ac:dyDescent="0.35">
      <c r="A3" s="406"/>
      <c r="B3" s="409"/>
    </row>
    <row r="4" spans="1:2" x14ac:dyDescent="0.35">
      <c r="A4" s="406"/>
      <c r="B4" s="409"/>
    </row>
    <row r="5" spans="1:2" ht="15" thickBot="1" x14ac:dyDescent="0.4">
      <c r="A5" s="407"/>
      <c r="B5" s="410"/>
    </row>
    <row r="6" spans="1:2" ht="6.75" customHeight="1" thickBot="1" x14ac:dyDescent="0.4"/>
    <row r="7" spans="1:2" ht="16" thickBot="1" x14ac:dyDescent="0.4">
      <c r="A7" s="411" t="s">
        <v>215</v>
      </c>
      <c r="B7" s="412"/>
    </row>
    <row r="8" spans="1:2" ht="63" customHeight="1" x14ac:dyDescent="0.35">
      <c r="A8" s="413" t="s">
        <v>216</v>
      </c>
      <c r="B8" s="414"/>
    </row>
    <row r="9" spans="1:2" ht="18" customHeight="1" x14ac:dyDescent="0.35">
      <c r="A9" s="25" t="s">
        <v>217</v>
      </c>
      <c r="B9" s="26" t="s">
        <v>218</v>
      </c>
    </row>
    <row r="10" spans="1:2" s="27" customFormat="1" ht="25.5" customHeight="1" x14ac:dyDescent="0.3">
      <c r="A10" s="401" t="s">
        <v>219</v>
      </c>
      <c r="B10" s="402"/>
    </row>
    <row r="11" spans="1:2" ht="50" x14ac:dyDescent="0.35">
      <c r="A11" s="175" t="s">
        <v>220</v>
      </c>
      <c r="B11" s="229" t="s">
        <v>684</v>
      </c>
    </row>
    <row r="12" spans="1:2" ht="40" customHeight="1" x14ac:dyDescent="0.35">
      <c r="A12" s="175" t="s">
        <v>221</v>
      </c>
      <c r="B12" s="30" t="s">
        <v>222</v>
      </c>
    </row>
    <row r="13" spans="1:2" ht="75" x14ac:dyDescent="0.35">
      <c r="A13" s="175" t="s">
        <v>223</v>
      </c>
      <c r="B13" s="229" t="s">
        <v>685</v>
      </c>
    </row>
    <row r="14" spans="1:2" ht="187.5" x14ac:dyDescent="0.35">
      <c r="A14" s="175" t="s">
        <v>696</v>
      </c>
      <c r="B14" s="229" t="s">
        <v>724</v>
      </c>
    </row>
    <row r="15" spans="1:2" ht="67.5" customHeight="1" x14ac:dyDescent="0.35">
      <c r="A15" s="175" t="s">
        <v>224</v>
      </c>
      <c r="B15" s="31">
        <v>45875</v>
      </c>
    </row>
    <row r="16" spans="1:2" ht="40" customHeight="1" x14ac:dyDescent="0.35">
      <c r="A16" s="175" t="s">
        <v>225</v>
      </c>
      <c r="B16" s="230" t="s">
        <v>686</v>
      </c>
    </row>
    <row r="17" spans="1:2" ht="40.5" customHeight="1" x14ac:dyDescent="0.35">
      <c r="A17" s="175" t="s">
        <v>226</v>
      </c>
      <c r="B17" s="228" t="s">
        <v>697</v>
      </c>
    </row>
    <row r="18" spans="1:2" ht="40" customHeight="1" x14ac:dyDescent="0.35">
      <c r="A18" s="175" t="s">
        <v>227</v>
      </c>
      <c r="B18" s="32">
        <v>10</v>
      </c>
    </row>
    <row r="19" spans="1:2" ht="40" customHeight="1" x14ac:dyDescent="0.35">
      <c r="A19" s="175" t="s">
        <v>228</v>
      </c>
      <c r="B19" s="32">
        <v>2</v>
      </c>
    </row>
    <row r="20" spans="1:2" ht="87.5" x14ac:dyDescent="0.35">
      <c r="A20" s="175" t="s">
        <v>229</v>
      </c>
      <c r="B20" s="33" t="s">
        <v>695</v>
      </c>
    </row>
    <row r="21" spans="1:2" ht="45" customHeight="1" x14ac:dyDescent="0.35">
      <c r="A21" s="175" t="s">
        <v>725</v>
      </c>
      <c r="B21" s="29" t="s">
        <v>231</v>
      </c>
    </row>
    <row r="22" spans="1:2" ht="49.5" customHeight="1" x14ac:dyDescent="0.35">
      <c r="A22" s="176" t="s">
        <v>232</v>
      </c>
      <c r="B22" s="183">
        <v>5738252697</v>
      </c>
    </row>
    <row r="23" spans="1:2" ht="48" customHeight="1" x14ac:dyDescent="0.35">
      <c r="A23" s="176" t="s">
        <v>233</v>
      </c>
      <c r="B23" s="34" t="s">
        <v>222</v>
      </c>
    </row>
    <row r="24" spans="1:2" ht="60.75" customHeight="1" x14ac:dyDescent="0.35">
      <c r="A24" s="175" t="s">
        <v>234</v>
      </c>
      <c r="B24" s="34" t="s">
        <v>687</v>
      </c>
    </row>
    <row r="25" spans="1:2" ht="30" customHeight="1" x14ac:dyDescent="0.35">
      <c r="A25" s="35" t="s">
        <v>235</v>
      </c>
      <c r="B25" s="183">
        <v>5738252697</v>
      </c>
    </row>
    <row r="26" spans="1:2" ht="30" customHeight="1" x14ac:dyDescent="0.35">
      <c r="A26" s="35" t="s">
        <v>236</v>
      </c>
      <c r="B26" s="34" t="s">
        <v>222</v>
      </c>
    </row>
    <row r="27" spans="1:2" ht="42.65" customHeight="1" x14ac:dyDescent="0.35">
      <c r="A27" s="35" t="s">
        <v>237</v>
      </c>
      <c r="B27" s="34" t="s">
        <v>222</v>
      </c>
    </row>
    <row r="28" spans="1:2" ht="30" customHeight="1" x14ac:dyDescent="0.35">
      <c r="A28" s="35" t="s">
        <v>238</v>
      </c>
      <c r="B28" s="34" t="s">
        <v>222</v>
      </c>
    </row>
    <row r="29" spans="1:2" ht="20.25" customHeight="1" x14ac:dyDescent="0.35">
      <c r="A29" s="28" t="s">
        <v>239</v>
      </c>
      <c r="B29" s="30" t="s">
        <v>230</v>
      </c>
    </row>
    <row r="30" spans="1:2" ht="30" customHeight="1" x14ac:dyDescent="0.35">
      <c r="A30" s="35" t="s">
        <v>240</v>
      </c>
      <c r="B30" s="30" t="s">
        <v>230</v>
      </c>
    </row>
    <row r="31" spans="1:2" ht="30" customHeight="1" x14ac:dyDescent="0.35">
      <c r="A31" s="35" t="s">
        <v>241</v>
      </c>
      <c r="B31" s="30" t="s">
        <v>230</v>
      </c>
    </row>
    <row r="32" spans="1:2" ht="30" customHeight="1" x14ac:dyDescent="0.35">
      <c r="A32" s="35" t="s">
        <v>242</v>
      </c>
      <c r="B32" s="30" t="s">
        <v>230</v>
      </c>
    </row>
    <row r="33" spans="1:2" ht="17.25" customHeight="1" x14ac:dyDescent="0.35">
      <c r="A33" s="28" t="s">
        <v>243</v>
      </c>
      <c r="B33" s="29" t="s">
        <v>244</v>
      </c>
    </row>
    <row r="34" spans="1:2" ht="287.5" x14ac:dyDescent="0.35">
      <c r="A34" s="36" t="s">
        <v>245</v>
      </c>
      <c r="B34" s="234" t="s">
        <v>719</v>
      </c>
    </row>
    <row r="35" spans="1:2" ht="17.25" customHeight="1" x14ac:dyDescent="0.35">
      <c r="A35" s="28" t="s">
        <v>246</v>
      </c>
      <c r="B35" s="29" t="s">
        <v>244</v>
      </c>
    </row>
    <row r="36" spans="1:2" ht="87.5" x14ac:dyDescent="0.35">
      <c r="A36" s="36" t="s">
        <v>247</v>
      </c>
      <c r="B36" s="234" t="s">
        <v>720</v>
      </c>
    </row>
    <row r="37" spans="1:2" ht="40" customHeight="1" x14ac:dyDescent="0.35">
      <c r="A37" s="176" t="s">
        <v>248</v>
      </c>
      <c r="B37" s="30" t="s">
        <v>271</v>
      </c>
    </row>
    <row r="38" spans="1:2" ht="53.25" customHeight="1" x14ac:dyDescent="0.35">
      <c r="A38" s="176" t="s">
        <v>249</v>
      </c>
      <c r="B38" s="30" t="s">
        <v>271</v>
      </c>
    </row>
    <row r="39" spans="1:2" ht="40" customHeight="1" x14ac:dyDescent="0.35">
      <c r="A39" s="175" t="s">
        <v>250</v>
      </c>
      <c r="B39" s="30" t="s">
        <v>698</v>
      </c>
    </row>
    <row r="40" spans="1:2" ht="44.25" customHeight="1" x14ac:dyDescent="0.35">
      <c r="A40" s="176" t="s">
        <v>252</v>
      </c>
      <c r="B40" s="29" t="s">
        <v>253</v>
      </c>
    </row>
    <row r="41" spans="1:2" ht="24.75" customHeight="1" x14ac:dyDescent="0.35">
      <c r="A41" s="401" t="s">
        <v>254</v>
      </c>
      <c r="B41" s="402"/>
    </row>
    <row r="42" spans="1:2" ht="47.25" customHeight="1" x14ac:dyDescent="0.35">
      <c r="A42" s="175" t="s">
        <v>255</v>
      </c>
      <c r="B42" s="37" t="s">
        <v>256</v>
      </c>
    </row>
    <row r="43" spans="1:2" s="27" customFormat="1" ht="36.75" customHeight="1" x14ac:dyDescent="0.3">
      <c r="A43" s="175" t="s">
        <v>257</v>
      </c>
      <c r="B43" s="37" t="s">
        <v>222</v>
      </c>
    </row>
    <row r="44" spans="1:2" s="27" customFormat="1" ht="27" customHeight="1" x14ac:dyDescent="0.3">
      <c r="A44" s="401" t="s">
        <v>258</v>
      </c>
      <c r="B44" s="402"/>
    </row>
    <row r="45" spans="1:2" s="27" customFormat="1" ht="87.5" x14ac:dyDescent="0.3">
      <c r="A45" s="175" t="s">
        <v>259</v>
      </c>
      <c r="B45" s="235" t="s">
        <v>721</v>
      </c>
    </row>
    <row r="46" spans="1:2" s="27" customFormat="1" ht="29.25" customHeight="1" x14ac:dyDescent="0.3">
      <c r="A46" s="401" t="s">
        <v>260</v>
      </c>
      <c r="B46" s="402"/>
    </row>
    <row r="47" spans="1:2" s="27" customFormat="1" ht="187.5" x14ac:dyDescent="0.3">
      <c r="A47" s="175" t="s">
        <v>261</v>
      </c>
      <c r="B47" s="235" t="s">
        <v>722</v>
      </c>
    </row>
    <row r="48" spans="1:2" s="27" customFormat="1" ht="98" x14ac:dyDescent="0.3">
      <c r="A48" s="175" t="s">
        <v>262</v>
      </c>
      <c r="B48" s="38" t="s">
        <v>263</v>
      </c>
    </row>
    <row r="49" spans="1:2" s="27" customFormat="1" ht="90" customHeight="1" x14ac:dyDescent="0.3">
      <c r="A49" s="175" t="s">
        <v>264</v>
      </c>
      <c r="B49" s="37" t="s">
        <v>230</v>
      </c>
    </row>
    <row r="50" spans="1:2" s="27" customFormat="1" ht="34.5" customHeight="1" x14ac:dyDescent="0.3">
      <c r="A50" s="403" t="s">
        <v>265</v>
      </c>
      <c r="B50" s="404"/>
    </row>
    <row r="51" spans="1:2" s="27" customFormat="1" ht="45.75" customHeight="1" x14ac:dyDescent="0.3">
      <c r="A51" s="175" t="s">
        <v>699</v>
      </c>
      <c r="B51" s="29" t="s">
        <v>244</v>
      </c>
    </row>
    <row r="52" spans="1:2" s="27" customFormat="1" ht="45.75" customHeight="1" x14ac:dyDescent="0.3">
      <c r="A52" s="176" t="s">
        <v>266</v>
      </c>
      <c r="B52" s="39" t="s">
        <v>700</v>
      </c>
    </row>
    <row r="53" spans="1:2" s="27" customFormat="1" ht="45.75" customHeight="1" x14ac:dyDescent="0.3">
      <c r="A53" s="175" t="s">
        <v>267</v>
      </c>
      <c r="B53" s="29" t="s">
        <v>271</v>
      </c>
    </row>
    <row r="54" spans="1:2" ht="34.5" customHeight="1" x14ac:dyDescent="0.35">
      <c r="A54" s="401" t="s">
        <v>268</v>
      </c>
      <c r="B54" s="402"/>
    </row>
    <row r="55" spans="1:2" ht="65.25" customHeight="1" x14ac:dyDescent="0.35">
      <c r="A55" s="175" t="s">
        <v>269</v>
      </c>
      <c r="B55" s="30" t="s">
        <v>271</v>
      </c>
    </row>
    <row r="56" spans="1:2" ht="49.5" customHeight="1" x14ac:dyDescent="0.35">
      <c r="A56" s="175" t="s">
        <v>270</v>
      </c>
      <c r="B56" s="29" t="s">
        <v>271</v>
      </c>
    </row>
    <row r="57" spans="1:2" s="27" customFormat="1" ht="49.5" customHeight="1" x14ac:dyDescent="0.3">
      <c r="A57" s="175" t="s">
        <v>272</v>
      </c>
      <c r="B57" s="30" t="s">
        <v>701</v>
      </c>
    </row>
    <row r="58" spans="1:2" s="27" customFormat="1" ht="40.5" customHeight="1" x14ac:dyDescent="0.3">
      <c r="A58" s="175" t="s">
        <v>273</v>
      </c>
      <c r="B58" s="29" t="s">
        <v>271</v>
      </c>
    </row>
    <row r="59" spans="1:2" s="27" customFormat="1" ht="49.5" customHeight="1" x14ac:dyDescent="0.3">
      <c r="A59" s="176" t="s">
        <v>274</v>
      </c>
      <c r="B59" s="29" t="s">
        <v>222</v>
      </c>
    </row>
    <row r="60" spans="1:2" ht="36" customHeight="1" x14ac:dyDescent="0.35">
      <c r="A60" s="403" t="s">
        <v>275</v>
      </c>
      <c r="B60" s="404"/>
    </row>
    <row r="61" spans="1:2" ht="51.75" customHeight="1" x14ac:dyDescent="0.35">
      <c r="A61" s="175" t="s">
        <v>276</v>
      </c>
      <c r="B61" s="30" t="s">
        <v>688</v>
      </c>
    </row>
    <row r="62" spans="1:2" ht="43.5" customHeight="1" x14ac:dyDescent="0.35">
      <c r="A62" s="175" t="s">
        <v>277</v>
      </c>
      <c r="B62" s="29" t="s">
        <v>421</v>
      </c>
    </row>
    <row r="63" spans="1:2" ht="50.25" customHeight="1" x14ac:dyDescent="0.35">
      <c r="A63" s="175" t="s">
        <v>278</v>
      </c>
      <c r="B63" s="37" t="s">
        <v>279</v>
      </c>
    </row>
    <row r="64" spans="1:2" s="27" customFormat="1" ht="47.25" customHeight="1" x14ac:dyDescent="0.3">
      <c r="A64" s="175" t="s">
        <v>280</v>
      </c>
      <c r="B64" s="37" t="s">
        <v>244</v>
      </c>
    </row>
    <row r="65" spans="1:2" ht="36.75" customHeight="1" x14ac:dyDescent="0.35">
      <c r="A65" s="401" t="s">
        <v>281</v>
      </c>
      <c r="B65" s="402"/>
    </row>
    <row r="66" spans="1:2" ht="34.5" customHeight="1" x14ac:dyDescent="0.35">
      <c r="A66" s="175" t="s">
        <v>282</v>
      </c>
      <c r="B66" s="29" t="s">
        <v>271</v>
      </c>
    </row>
    <row r="67" spans="1:2" ht="34.5" customHeight="1" x14ac:dyDescent="0.35">
      <c r="A67" s="175" t="s">
        <v>283</v>
      </c>
      <c r="B67" s="29" t="s">
        <v>271</v>
      </c>
    </row>
    <row r="68" spans="1:2" ht="34.5" customHeight="1" x14ac:dyDescent="0.35">
      <c r="A68" s="175" t="s">
        <v>284</v>
      </c>
      <c r="B68" s="29" t="s">
        <v>271</v>
      </c>
    </row>
    <row r="69" spans="1:2" ht="34.5" customHeight="1" x14ac:dyDescent="0.35">
      <c r="A69" s="175" t="s">
        <v>285</v>
      </c>
      <c r="B69" s="29" t="s">
        <v>222</v>
      </c>
    </row>
    <row r="70" spans="1:2" ht="54.75" customHeight="1" x14ac:dyDescent="0.35">
      <c r="A70" s="175" t="s">
        <v>286</v>
      </c>
      <c r="B70" s="29" t="s">
        <v>689</v>
      </c>
    </row>
    <row r="71" spans="1:2" ht="34.5" customHeight="1" x14ac:dyDescent="0.35">
      <c r="A71" s="175" t="s">
        <v>287</v>
      </c>
      <c r="B71" s="29" t="s">
        <v>271</v>
      </c>
    </row>
    <row r="72" spans="1:2" ht="34.5" customHeight="1" x14ac:dyDescent="0.35">
      <c r="A72" s="175" t="s">
        <v>288</v>
      </c>
      <c r="B72" s="30" t="s">
        <v>690</v>
      </c>
    </row>
    <row r="73" spans="1:2" ht="71" customHeight="1" x14ac:dyDescent="0.35">
      <c r="A73" s="175" t="s">
        <v>290</v>
      </c>
      <c r="B73" s="229" t="s">
        <v>723</v>
      </c>
    </row>
    <row r="74" spans="1:2" ht="34.5" customHeight="1" x14ac:dyDescent="0.35">
      <c r="A74" s="175" t="s">
        <v>291</v>
      </c>
      <c r="B74" s="30" t="s">
        <v>702</v>
      </c>
    </row>
    <row r="75" spans="1:2" ht="34.5" customHeight="1" x14ac:dyDescent="0.35">
      <c r="A75" s="175" t="s">
        <v>292</v>
      </c>
      <c r="B75" s="30" t="s">
        <v>289</v>
      </c>
    </row>
    <row r="76" spans="1:2" ht="37.5" customHeight="1" x14ac:dyDescent="0.35">
      <c r="A76" s="175" t="s">
        <v>293</v>
      </c>
      <c r="B76" s="30" t="s">
        <v>289</v>
      </c>
    </row>
    <row r="77" spans="1:2" ht="30.75" customHeight="1" x14ac:dyDescent="0.35">
      <c r="A77" s="401" t="s">
        <v>294</v>
      </c>
      <c r="B77" s="402"/>
    </row>
    <row r="78" spans="1:2" ht="36" customHeight="1" x14ac:dyDescent="0.35">
      <c r="A78" s="175" t="s">
        <v>295</v>
      </c>
      <c r="B78" s="29" t="s">
        <v>230</v>
      </c>
    </row>
    <row r="79" spans="1:2" ht="36" customHeight="1" x14ac:dyDescent="0.35">
      <c r="A79" s="175" t="s">
        <v>296</v>
      </c>
      <c r="B79" s="29" t="s">
        <v>230</v>
      </c>
    </row>
    <row r="80" spans="1:2" ht="36" customHeight="1" x14ac:dyDescent="0.35">
      <c r="A80" s="175" t="s">
        <v>297</v>
      </c>
      <c r="B80" s="29" t="s">
        <v>230</v>
      </c>
    </row>
    <row r="81" spans="1:2" ht="36" customHeight="1" x14ac:dyDescent="0.35">
      <c r="A81" s="175" t="s">
        <v>298</v>
      </c>
      <c r="B81" s="29" t="s">
        <v>230</v>
      </c>
    </row>
    <row r="82" spans="1:2" ht="36" customHeight="1" x14ac:dyDescent="0.35">
      <c r="A82" s="175" t="s">
        <v>299</v>
      </c>
      <c r="B82" s="29" t="s">
        <v>271</v>
      </c>
    </row>
    <row r="83" spans="1:2" ht="36" customHeight="1" x14ac:dyDescent="0.35">
      <c r="A83" s="175" t="s">
        <v>300</v>
      </c>
      <c r="B83" s="29" t="s">
        <v>271</v>
      </c>
    </row>
    <row r="84" spans="1:2" ht="36" customHeight="1" x14ac:dyDescent="0.35">
      <c r="A84" s="401" t="s">
        <v>301</v>
      </c>
      <c r="B84" s="402"/>
    </row>
    <row r="85" spans="1:2" ht="52.5" customHeight="1" x14ac:dyDescent="0.35">
      <c r="A85" s="175" t="s">
        <v>302</v>
      </c>
      <c r="B85" s="29" t="s">
        <v>222</v>
      </c>
    </row>
    <row r="86" spans="1:2" ht="49.5" customHeight="1" x14ac:dyDescent="0.35">
      <c r="A86" s="175" t="s">
        <v>303</v>
      </c>
      <c r="B86" s="29" t="s">
        <v>222</v>
      </c>
    </row>
    <row r="87" spans="1:2" ht="55.5" customHeight="1" x14ac:dyDescent="0.35">
      <c r="A87" s="175" t="s">
        <v>304</v>
      </c>
      <c r="B87" s="29" t="s">
        <v>222</v>
      </c>
    </row>
    <row r="88" spans="1:2" ht="39" customHeight="1" x14ac:dyDescent="0.35">
      <c r="A88" s="401" t="s">
        <v>305</v>
      </c>
      <c r="B88" s="402"/>
    </row>
    <row r="89" spans="1:2" ht="42" customHeight="1" x14ac:dyDescent="0.35">
      <c r="A89" s="175" t="s">
        <v>306</v>
      </c>
      <c r="B89" s="29" t="s">
        <v>307</v>
      </c>
    </row>
    <row r="90" spans="1:2" ht="40" customHeight="1" x14ac:dyDescent="0.35">
      <c r="A90" s="175" t="s">
        <v>308</v>
      </c>
      <c r="B90" s="29" t="s">
        <v>307</v>
      </c>
    </row>
    <row r="91" spans="1:2" ht="40.5" customHeight="1" x14ac:dyDescent="0.35">
      <c r="A91" s="175" t="s">
        <v>309</v>
      </c>
      <c r="B91" s="29" t="s">
        <v>230</v>
      </c>
    </row>
    <row r="92" spans="1:2" ht="40" customHeight="1" x14ac:dyDescent="0.35">
      <c r="A92" s="401" t="s">
        <v>310</v>
      </c>
      <c r="B92" s="402"/>
    </row>
    <row r="93" spans="1:2" ht="40.5" customHeight="1" x14ac:dyDescent="0.35">
      <c r="A93" s="175" t="s">
        <v>311</v>
      </c>
      <c r="B93" s="29" t="s">
        <v>222</v>
      </c>
    </row>
    <row r="94" spans="1:2" ht="40.5" customHeight="1" x14ac:dyDescent="0.35">
      <c r="A94" s="175" t="s">
        <v>312</v>
      </c>
      <c r="B94" s="29" t="s">
        <v>222</v>
      </c>
    </row>
    <row r="95" spans="1:2" ht="40.5" customHeight="1" x14ac:dyDescent="0.35">
      <c r="A95" s="175" t="s">
        <v>313</v>
      </c>
      <c r="B95" s="29" t="s">
        <v>222</v>
      </c>
    </row>
    <row r="96" spans="1:2" s="27" customFormat="1" ht="40.5" customHeight="1" x14ac:dyDescent="0.3">
      <c r="A96" s="175" t="s">
        <v>314</v>
      </c>
      <c r="B96" s="29" t="s">
        <v>691</v>
      </c>
    </row>
    <row r="97" spans="1:2" s="27" customFormat="1" ht="187.5" x14ac:dyDescent="0.3">
      <c r="A97" s="175" t="s">
        <v>315</v>
      </c>
      <c r="B97" s="30" t="s">
        <v>692</v>
      </c>
    </row>
    <row r="98" spans="1:2" ht="30.75" customHeight="1" x14ac:dyDescent="0.35">
      <c r="A98" s="401" t="s">
        <v>316</v>
      </c>
      <c r="B98" s="402"/>
    </row>
    <row r="99" spans="1:2" ht="42.75" customHeight="1" x14ac:dyDescent="0.35">
      <c r="A99" s="175" t="s">
        <v>317</v>
      </c>
      <c r="B99" s="30" t="s">
        <v>318</v>
      </c>
    </row>
    <row r="100" spans="1:2" ht="40" customHeight="1" x14ac:dyDescent="0.35">
      <c r="A100" s="401" t="s">
        <v>319</v>
      </c>
      <c r="B100" s="402"/>
    </row>
    <row r="101" spans="1:2" ht="42" customHeight="1" x14ac:dyDescent="0.35">
      <c r="A101" s="175" t="s">
        <v>320</v>
      </c>
      <c r="B101" s="30" t="s">
        <v>321</v>
      </c>
    </row>
    <row r="102" spans="1:2" ht="39" customHeight="1" x14ac:dyDescent="0.35">
      <c r="A102" s="401" t="s">
        <v>322</v>
      </c>
      <c r="B102" s="402"/>
    </row>
    <row r="103" spans="1:2" ht="57" customHeight="1" x14ac:dyDescent="0.35">
      <c r="A103" s="177" t="s">
        <v>323</v>
      </c>
      <c r="B103" s="29" t="s">
        <v>324</v>
      </c>
    </row>
    <row r="104" spans="1:2" ht="51" customHeight="1" x14ac:dyDescent="0.35">
      <c r="A104" s="175" t="s">
        <v>325</v>
      </c>
      <c r="B104" s="29" t="s">
        <v>222</v>
      </c>
    </row>
    <row r="105" spans="1:2" ht="52.5" customHeight="1" x14ac:dyDescent="0.35">
      <c r="A105" s="175" t="s">
        <v>326</v>
      </c>
      <c r="B105" s="29" t="s">
        <v>222</v>
      </c>
    </row>
    <row r="106" spans="1:2" ht="41.25" customHeight="1" x14ac:dyDescent="0.35">
      <c r="A106" s="401" t="s">
        <v>327</v>
      </c>
      <c r="B106" s="402"/>
    </row>
    <row r="107" spans="1:2" ht="41.25" customHeight="1" x14ac:dyDescent="0.35">
      <c r="A107" s="178" t="s">
        <v>328</v>
      </c>
      <c r="B107" s="181" t="s">
        <v>329</v>
      </c>
    </row>
    <row r="108" spans="1:2" ht="237.5" x14ac:dyDescent="0.35">
      <c r="A108" s="178" t="s">
        <v>703</v>
      </c>
      <c r="B108" s="181" t="s">
        <v>704</v>
      </c>
    </row>
    <row r="109" spans="1:2" ht="41.25" customHeight="1" x14ac:dyDescent="0.35">
      <c r="A109" s="178" t="s">
        <v>330</v>
      </c>
      <c r="B109" s="181" t="s">
        <v>307</v>
      </c>
    </row>
    <row r="110" spans="1:2" ht="41.25" customHeight="1" x14ac:dyDescent="0.35">
      <c r="A110" s="178" t="s">
        <v>331</v>
      </c>
      <c r="B110" s="182" t="s">
        <v>244</v>
      </c>
    </row>
    <row r="111" spans="1:2" ht="409.5" x14ac:dyDescent="0.35">
      <c r="A111" s="178" t="s">
        <v>332</v>
      </c>
      <c r="B111" s="182" t="s">
        <v>705</v>
      </c>
    </row>
    <row r="112" spans="1:2" ht="24" customHeight="1" x14ac:dyDescent="0.35">
      <c r="A112" s="401" t="s">
        <v>333</v>
      </c>
      <c r="B112" s="402"/>
    </row>
    <row r="113" spans="1:2" ht="26.25" customHeight="1" x14ac:dyDescent="0.35">
      <c r="A113" s="175" t="s">
        <v>334</v>
      </c>
      <c r="B113" s="29" t="s">
        <v>222</v>
      </c>
    </row>
    <row r="114" spans="1:2" ht="26.25" customHeight="1" x14ac:dyDescent="0.35">
      <c r="A114" s="175" t="s">
        <v>335</v>
      </c>
      <c r="B114" s="29" t="s">
        <v>222</v>
      </c>
    </row>
    <row r="115" spans="1:2" ht="26.25" customHeight="1" x14ac:dyDescent="0.35">
      <c r="A115" s="179" t="s">
        <v>336</v>
      </c>
      <c r="B115" s="40" t="s">
        <v>222</v>
      </c>
    </row>
    <row r="116" spans="1:2" ht="18" customHeight="1" x14ac:dyDescent="0.35">
      <c r="A116" s="403" t="s">
        <v>337</v>
      </c>
      <c r="B116" s="404"/>
    </row>
    <row r="117" spans="1:2" ht="59.25" customHeight="1" thickBot="1" x14ac:dyDescent="0.4">
      <c r="A117" s="180" t="s">
        <v>338</v>
      </c>
      <c r="B117" s="231" t="s">
        <v>222</v>
      </c>
    </row>
    <row r="126" spans="1:2" ht="409.5" x14ac:dyDescent="0.35">
      <c r="A126" s="232" t="s">
        <v>726</v>
      </c>
    </row>
  </sheetData>
  <mergeCells count="22">
    <mergeCell ref="A65:B65"/>
    <mergeCell ref="A1:A5"/>
    <mergeCell ref="B1:B5"/>
    <mergeCell ref="A7:B7"/>
    <mergeCell ref="A8:B8"/>
    <mergeCell ref="A10:B10"/>
    <mergeCell ref="A41:B41"/>
    <mergeCell ref="A44:B44"/>
    <mergeCell ref="A46:B46"/>
    <mergeCell ref="A50:B50"/>
    <mergeCell ref="A54:B54"/>
    <mergeCell ref="A60:B60"/>
    <mergeCell ref="A102:B102"/>
    <mergeCell ref="A106:B106"/>
    <mergeCell ref="A112:B112"/>
    <mergeCell ref="A116:B116"/>
    <mergeCell ref="A77:B77"/>
    <mergeCell ref="A84:B84"/>
    <mergeCell ref="A88:B88"/>
    <mergeCell ref="A92:B92"/>
    <mergeCell ref="A98:B98"/>
    <mergeCell ref="A100:B10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8" tint="-0.249977111117893"/>
  </sheetPr>
  <dimension ref="A1:X51"/>
  <sheetViews>
    <sheetView showGridLines="0" topLeftCell="A15" zoomScale="70" zoomScaleNormal="70" workbookViewId="0">
      <selection activeCell="H19" sqref="A18:I19"/>
    </sheetView>
  </sheetViews>
  <sheetFormatPr baseColWidth="10" defaultColWidth="0" defaultRowHeight="15" customHeight="1" zeroHeight="1" x14ac:dyDescent="0.35"/>
  <cols>
    <col min="1" max="2" width="10" style="1" customWidth="1"/>
    <col min="3" max="3" width="18.5" style="1" customWidth="1"/>
    <col min="4" max="13" width="18.58203125" style="1" customWidth="1"/>
    <col min="14" max="14" width="10" style="1" customWidth="1"/>
    <col min="15" max="16384" width="10" style="1" hidden="1"/>
  </cols>
  <sheetData>
    <row r="1" spans="1:24" ht="15" customHeight="1" x14ac:dyDescent="0.35">
      <c r="A1" s="41"/>
      <c r="B1" s="42"/>
      <c r="C1" s="42"/>
      <c r="D1" s="463" t="s">
        <v>0</v>
      </c>
      <c r="E1" s="387"/>
      <c r="F1" s="387"/>
      <c r="G1" s="387"/>
      <c r="H1" s="387"/>
      <c r="I1" s="387"/>
      <c r="J1" s="387"/>
      <c r="K1" s="387"/>
      <c r="L1" s="387"/>
      <c r="M1" s="464"/>
      <c r="N1" s="43"/>
      <c r="O1" s="43"/>
      <c r="P1" s="43"/>
      <c r="Q1" s="43"/>
      <c r="R1" s="43"/>
      <c r="S1" s="43"/>
      <c r="T1" s="43"/>
      <c r="U1" s="43"/>
      <c r="V1" s="43"/>
      <c r="W1" s="43"/>
      <c r="X1" s="43"/>
    </row>
    <row r="2" spans="1:24" ht="14.5" x14ac:dyDescent="0.35">
      <c r="A2" s="44"/>
      <c r="D2" s="465"/>
      <c r="E2" s="306"/>
      <c r="F2" s="306"/>
      <c r="G2" s="306"/>
      <c r="H2" s="306"/>
      <c r="I2" s="306"/>
      <c r="J2" s="306"/>
      <c r="K2" s="306"/>
      <c r="L2" s="306"/>
      <c r="M2" s="466"/>
      <c r="N2" s="43"/>
      <c r="O2" s="43"/>
      <c r="P2" s="43"/>
      <c r="Q2" s="43"/>
      <c r="R2" s="43"/>
      <c r="S2" s="43"/>
      <c r="T2" s="43"/>
      <c r="U2" s="43"/>
      <c r="V2" s="43"/>
      <c r="W2" s="43"/>
      <c r="X2" s="43"/>
    </row>
    <row r="3" spans="1:24" ht="14.5" x14ac:dyDescent="0.35">
      <c r="A3" s="44"/>
      <c r="D3" s="465"/>
      <c r="E3" s="306"/>
      <c r="F3" s="306"/>
      <c r="G3" s="306"/>
      <c r="H3" s="306"/>
      <c r="I3" s="306"/>
      <c r="J3" s="306"/>
      <c r="K3" s="306"/>
      <c r="L3" s="306"/>
      <c r="M3" s="466"/>
      <c r="N3" s="43"/>
      <c r="O3" s="43"/>
      <c r="P3" s="43"/>
      <c r="Q3" s="43"/>
      <c r="R3" s="43"/>
      <c r="S3" s="43"/>
      <c r="T3" s="43"/>
      <c r="U3" s="43"/>
      <c r="V3" s="43"/>
      <c r="W3" s="43"/>
      <c r="X3" s="43"/>
    </row>
    <row r="4" spans="1:24" ht="14.5" x14ac:dyDescent="0.35">
      <c r="A4" s="44"/>
      <c r="D4" s="465"/>
      <c r="E4" s="306"/>
      <c r="F4" s="306"/>
      <c r="G4" s="306"/>
      <c r="H4" s="306"/>
      <c r="I4" s="306"/>
      <c r="J4" s="306"/>
      <c r="K4" s="306"/>
      <c r="L4" s="306"/>
      <c r="M4" s="466"/>
      <c r="N4" s="43"/>
      <c r="O4" s="43"/>
      <c r="P4" s="43"/>
      <c r="Q4" s="43"/>
      <c r="R4" s="43"/>
      <c r="S4" s="43"/>
      <c r="T4" s="43"/>
      <c r="U4" s="43"/>
      <c r="V4" s="43"/>
      <c r="W4" s="43"/>
      <c r="X4" s="43"/>
    </row>
    <row r="5" spans="1:24" thickBot="1" x14ac:dyDescent="0.4">
      <c r="A5" s="45"/>
      <c r="B5" s="46"/>
      <c r="C5" s="46"/>
      <c r="D5" s="467"/>
      <c r="E5" s="468"/>
      <c r="F5" s="468"/>
      <c r="G5" s="468"/>
      <c r="H5" s="468"/>
      <c r="I5" s="468"/>
      <c r="J5" s="468"/>
      <c r="K5" s="468"/>
      <c r="L5" s="468"/>
      <c r="M5" s="469"/>
    </row>
    <row r="6" spans="1:24" ht="14.5" x14ac:dyDescent="0.35"/>
    <row r="7" spans="1:24" ht="27.75" customHeight="1" x14ac:dyDescent="0.35">
      <c r="A7" s="470" t="s">
        <v>339</v>
      </c>
      <c r="B7" s="471"/>
      <c r="C7" s="471"/>
      <c r="D7" s="471"/>
      <c r="E7" s="471"/>
      <c r="F7" s="471"/>
      <c r="G7" s="471"/>
      <c r="H7" s="471"/>
      <c r="I7" s="471"/>
      <c r="J7" s="471"/>
      <c r="K7" s="471"/>
      <c r="L7" s="471"/>
      <c r="M7" s="471"/>
    </row>
    <row r="8" spans="1:24" ht="29.25" customHeight="1" x14ac:dyDescent="0.35">
      <c r="A8" s="471"/>
      <c r="B8" s="471"/>
      <c r="C8" s="471"/>
      <c r="D8" s="471"/>
      <c r="E8" s="471"/>
      <c r="F8" s="471"/>
      <c r="G8" s="471"/>
      <c r="H8" s="471"/>
      <c r="I8" s="471"/>
      <c r="J8" s="471"/>
      <c r="K8" s="471"/>
      <c r="L8" s="471"/>
      <c r="M8" s="471"/>
    </row>
    <row r="9" spans="1:24" ht="37.5" customHeight="1" x14ac:dyDescent="0.35">
      <c r="A9" s="472" t="s">
        <v>340</v>
      </c>
      <c r="B9" s="472"/>
      <c r="C9" s="472"/>
      <c r="D9" s="472"/>
      <c r="E9" s="472"/>
      <c r="F9" s="472"/>
      <c r="G9" s="472"/>
      <c r="H9" s="472"/>
      <c r="I9" s="472"/>
      <c r="J9" s="472"/>
      <c r="K9" s="472"/>
      <c r="L9" s="472"/>
      <c r="M9" s="472"/>
    </row>
    <row r="10" spans="1:24" ht="17.25" customHeight="1" x14ac:dyDescent="0.35">
      <c r="A10" s="47"/>
      <c r="B10" s="48"/>
      <c r="C10" s="48"/>
      <c r="D10" s="48"/>
      <c r="E10" s="48"/>
      <c r="F10" s="48"/>
      <c r="G10" s="48"/>
      <c r="H10" s="48"/>
      <c r="I10" s="48"/>
      <c r="J10" s="48"/>
      <c r="K10" s="48"/>
      <c r="L10" s="48"/>
      <c r="M10" s="49"/>
    </row>
    <row r="11" spans="1:24" ht="50.15" customHeight="1" x14ac:dyDescent="0.35">
      <c r="A11" s="473" t="s">
        <v>43</v>
      </c>
      <c r="B11" s="50" t="s">
        <v>29</v>
      </c>
      <c r="C11" s="51" t="s">
        <v>97</v>
      </c>
      <c r="D11" s="457" t="s">
        <v>98</v>
      </c>
      <c r="E11" s="458"/>
      <c r="F11" s="460" t="s">
        <v>99</v>
      </c>
      <c r="G11" s="460"/>
      <c r="H11" s="461" t="s">
        <v>100</v>
      </c>
      <c r="I11" s="461"/>
      <c r="J11" s="462" t="s">
        <v>101</v>
      </c>
      <c r="K11" s="462"/>
      <c r="L11" s="462" t="s">
        <v>102</v>
      </c>
      <c r="M11" s="462"/>
    </row>
    <row r="12" spans="1:24" ht="50.15" customHeight="1" x14ac:dyDescent="0.35">
      <c r="A12" s="473"/>
      <c r="B12" s="50" t="s">
        <v>103</v>
      </c>
      <c r="C12" s="51" t="s">
        <v>88</v>
      </c>
      <c r="D12" s="457" t="s">
        <v>104</v>
      </c>
      <c r="E12" s="458"/>
      <c r="F12" s="460" t="s">
        <v>105</v>
      </c>
      <c r="G12" s="460"/>
      <c r="H12" s="461" t="s">
        <v>106</v>
      </c>
      <c r="I12" s="461"/>
      <c r="J12" s="461" t="s">
        <v>107</v>
      </c>
      <c r="K12" s="461"/>
      <c r="L12" s="462" t="s">
        <v>101</v>
      </c>
      <c r="M12" s="462"/>
    </row>
    <row r="13" spans="1:24" ht="50.15" customHeight="1" x14ac:dyDescent="0.35">
      <c r="A13" s="473"/>
      <c r="B13" s="50" t="s">
        <v>108</v>
      </c>
      <c r="C13" s="51" t="s">
        <v>89</v>
      </c>
      <c r="D13" s="457" t="s">
        <v>109</v>
      </c>
      <c r="E13" s="458"/>
      <c r="F13" s="460" t="s">
        <v>110</v>
      </c>
      <c r="G13" s="460"/>
      <c r="H13" s="460" t="s">
        <v>111</v>
      </c>
      <c r="I13" s="460"/>
      <c r="J13" s="461" t="s">
        <v>106</v>
      </c>
      <c r="K13" s="461"/>
      <c r="L13" s="462" t="s">
        <v>112</v>
      </c>
      <c r="M13" s="462"/>
    </row>
    <row r="14" spans="1:24" ht="50.15" customHeight="1" x14ac:dyDescent="0.35">
      <c r="A14" s="473"/>
      <c r="B14" s="50" t="s">
        <v>113</v>
      </c>
      <c r="C14" s="51" t="s">
        <v>90</v>
      </c>
      <c r="D14" s="457" t="s">
        <v>114</v>
      </c>
      <c r="E14" s="458"/>
      <c r="F14" s="459" t="s">
        <v>104</v>
      </c>
      <c r="G14" s="459"/>
      <c r="H14" s="460" t="s">
        <v>110</v>
      </c>
      <c r="I14" s="460"/>
      <c r="J14" s="461" t="s">
        <v>115</v>
      </c>
      <c r="K14" s="461"/>
      <c r="L14" s="462" t="s">
        <v>116</v>
      </c>
      <c r="M14" s="462"/>
    </row>
    <row r="15" spans="1:24" ht="50.15" customHeight="1" x14ac:dyDescent="0.35">
      <c r="A15" s="473"/>
      <c r="B15" s="50" t="s">
        <v>117</v>
      </c>
      <c r="C15" s="51" t="s">
        <v>91</v>
      </c>
      <c r="D15" s="457" t="s">
        <v>118</v>
      </c>
      <c r="E15" s="458"/>
      <c r="F15" s="459" t="s">
        <v>114</v>
      </c>
      <c r="G15" s="459"/>
      <c r="H15" s="460" t="s">
        <v>119</v>
      </c>
      <c r="I15" s="460"/>
      <c r="J15" s="461" t="s">
        <v>120</v>
      </c>
      <c r="K15" s="461"/>
      <c r="L15" s="462" t="s">
        <v>121</v>
      </c>
      <c r="M15" s="462"/>
    </row>
    <row r="16" spans="1:24" ht="32.25" customHeight="1" x14ac:dyDescent="0.35">
      <c r="A16" s="302" t="s">
        <v>122</v>
      </c>
      <c r="B16" s="302"/>
      <c r="C16" s="454"/>
      <c r="D16" s="455" t="s">
        <v>60</v>
      </c>
      <c r="E16" s="455"/>
      <c r="F16" s="455"/>
      <c r="G16" s="455"/>
      <c r="H16" s="455"/>
      <c r="I16" s="455"/>
      <c r="J16" s="455"/>
      <c r="K16" s="455"/>
      <c r="L16" s="455"/>
      <c r="M16" s="455"/>
    </row>
    <row r="17" spans="1:13" ht="32.25" customHeight="1" x14ac:dyDescent="0.35">
      <c r="A17" s="302"/>
      <c r="B17" s="302"/>
      <c r="C17" s="302"/>
      <c r="D17" s="456" t="s">
        <v>123</v>
      </c>
      <c r="E17" s="456"/>
      <c r="F17" s="456" t="s">
        <v>124</v>
      </c>
      <c r="G17" s="456"/>
      <c r="H17" s="456" t="s">
        <v>125</v>
      </c>
      <c r="I17" s="456"/>
      <c r="J17" s="456" t="s">
        <v>126</v>
      </c>
      <c r="K17" s="456"/>
      <c r="L17" s="456" t="s">
        <v>127</v>
      </c>
      <c r="M17" s="456"/>
    </row>
    <row r="18" spans="1:13" ht="49.5" customHeight="1" x14ac:dyDescent="0.35">
      <c r="A18" s="415" t="s">
        <v>128</v>
      </c>
      <c r="B18" s="415"/>
      <c r="C18" s="415"/>
      <c r="D18" s="416" t="s">
        <v>129</v>
      </c>
      <c r="E18" s="416"/>
      <c r="F18" s="416" t="s">
        <v>130</v>
      </c>
      <c r="G18" s="416"/>
      <c r="H18" s="416" t="s">
        <v>131</v>
      </c>
      <c r="I18" s="416"/>
      <c r="J18" s="416" t="s">
        <v>132</v>
      </c>
      <c r="K18" s="416"/>
      <c r="L18" s="416" t="s">
        <v>133</v>
      </c>
      <c r="M18" s="416"/>
    </row>
    <row r="19" spans="1:13" ht="27.75" customHeight="1" x14ac:dyDescent="0.35">
      <c r="A19" s="415"/>
      <c r="B19" s="415"/>
      <c r="C19" s="415"/>
      <c r="D19" s="52">
        <v>0</v>
      </c>
      <c r="E19" s="53">
        <f>Contexto!B22*0.01</f>
        <v>57382526.969999999</v>
      </c>
      <c r="F19" s="53">
        <f>E19</f>
        <v>57382526.969999999</v>
      </c>
      <c r="G19" s="53">
        <f>Contexto!B22*0.02</f>
        <v>114765053.94</v>
      </c>
      <c r="H19" s="53">
        <f>G19</f>
        <v>114765053.94</v>
      </c>
      <c r="I19" s="53">
        <f>Contexto!B22*0.05</f>
        <v>286912634.85000002</v>
      </c>
      <c r="J19" s="53">
        <f>I19</f>
        <v>286912634.85000002</v>
      </c>
      <c r="K19" s="53">
        <f>Contexto!B22*0.1</f>
        <v>573825269.70000005</v>
      </c>
      <c r="L19" s="453">
        <f>K19</f>
        <v>573825269.70000005</v>
      </c>
      <c r="M19" s="453"/>
    </row>
    <row r="20" spans="1:13" ht="50.25" customHeight="1" x14ac:dyDescent="0.35">
      <c r="A20" s="417" t="s">
        <v>134</v>
      </c>
      <c r="B20" s="418"/>
      <c r="C20" s="418"/>
      <c r="D20" s="451" t="s">
        <v>135</v>
      </c>
      <c r="E20" s="452"/>
      <c r="F20" s="451" t="s">
        <v>136</v>
      </c>
      <c r="G20" s="452"/>
      <c r="H20" s="451" t="s">
        <v>137</v>
      </c>
      <c r="I20" s="452"/>
      <c r="J20" s="451" t="s">
        <v>138</v>
      </c>
      <c r="K20" s="452"/>
      <c r="L20" s="451" t="s">
        <v>139</v>
      </c>
      <c r="M20" s="452"/>
    </row>
    <row r="21" spans="1:13" ht="27.75" customHeight="1" x14ac:dyDescent="0.35">
      <c r="A21" s="420"/>
      <c r="B21" s="421"/>
      <c r="C21" s="421"/>
      <c r="D21" s="52">
        <v>0</v>
      </c>
      <c r="E21" s="53" t="e">
        <f>Contexto!#REF!*0.01</f>
        <v>#REF!</v>
      </c>
      <c r="F21" s="53" t="e">
        <f>E21</f>
        <v>#REF!</v>
      </c>
      <c r="G21" s="53" t="e">
        <f>Contexto!#REF!*0.02</f>
        <v>#REF!</v>
      </c>
      <c r="H21" s="53" t="e">
        <f>G21</f>
        <v>#REF!</v>
      </c>
      <c r="I21" s="53" t="e">
        <f>Contexto!#REF!*0.05</f>
        <v>#REF!</v>
      </c>
      <c r="J21" s="53" t="e">
        <f>I21</f>
        <v>#REF!</v>
      </c>
      <c r="K21" s="53" t="e">
        <f>Contexto!#REF!*0.1</f>
        <v>#REF!</v>
      </c>
      <c r="L21" s="430" t="e">
        <f>K21</f>
        <v>#REF!</v>
      </c>
      <c r="M21" s="431"/>
    </row>
    <row r="22" spans="1:13" ht="27.75" customHeight="1" x14ac:dyDescent="0.35">
      <c r="A22" s="417" t="s">
        <v>341</v>
      </c>
      <c r="B22" s="418"/>
      <c r="C22" s="418"/>
      <c r="D22" s="416" t="s">
        <v>141</v>
      </c>
      <c r="E22" s="416"/>
      <c r="F22" s="416" t="s">
        <v>142</v>
      </c>
      <c r="G22" s="416"/>
      <c r="H22" s="416" t="s">
        <v>143</v>
      </c>
      <c r="I22" s="416"/>
      <c r="J22" s="416" t="s">
        <v>144</v>
      </c>
      <c r="K22" s="416"/>
      <c r="L22" s="416" t="s">
        <v>145</v>
      </c>
      <c r="M22" s="416"/>
    </row>
    <row r="23" spans="1:13" ht="27.75" customHeight="1" x14ac:dyDescent="0.35">
      <c r="A23" s="449"/>
      <c r="B23" s="450"/>
      <c r="C23" s="450"/>
      <c r="D23" s="416"/>
      <c r="E23" s="416"/>
      <c r="F23" s="416"/>
      <c r="G23" s="416"/>
      <c r="H23" s="416"/>
      <c r="I23" s="416"/>
      <c r="J23" s="416"/>
      <c r="K23" s="416"/>
      <c r="L23" s="416"/>
      <c r="M23" s="416"/>
    </row>
    <row r="24" spans="1:13" ht="27.75" customHeight="1" x14ac:dyDescent="0.35">
      <c r="A24" s="420"/>
      <c r="B24" s="421"/>
      <c r="C24" s="421"/>
      <c r="D24" s="54">
        <v>0</v>
      </c>
      <c r="E24" s="54">
        <f>Contexto!B18*0.01*30</f>
        <v>3</v>
      </c>
      <c r="F24" s="54">
        <f>E24</f>
        <v>3</v>
      </c>
      <c r="G24" s="54">
        <f>Contexto!B18*0.02*30</f>
        <v>6</v>
      </c>
      <c r="H24" s="54">
        <f>G24</f>
        <v>6</v>
      </c>
      <c r="I24" s="54">
        <f>Contexto!B18*0.05*30</f>
        <v>15</v>
      </c>
      <c r="J24" s="54">
        <f>I24</f>
        <v>15</v>
      </c>
      <c r="K24" s="54">
        <f>Contexto!B18*0.1*30</f>
        <v>30</v>
      </c>
      <c r="L24" s="425">
        <f>K24</f>
        <v>30</v>
      </c>
      <c r="M24" s="425"/>
    </row>
    <row r="25" spans="1:13" ht="97.5" customHeight="1" x14ac:dyDescent="0.35">
      <c r="A25" s="415" t="s">
        <v>146</v>
      </c>
      <c r="B25" s="415"/>
      <c r="C25" s="415"/>
      <c r="D25" s="416" t="s">
        <v>147</v>
      </c>
      <c r="E25" s="416"/>
      <c r="F25" s="416" t="s">
        <v>148</v>
      </c>
      <c r="G25" s="416"/>
      <c r="H25" s="416" t="s">
        <v>149</v>
      </c>
      <c r="I25" s="416"/>
      <c r="J25" s="416" t="s">
        <v>150</v>
      </c>
      <c r="K25" s="416"/>
      <c r="L25" s="416" t="s">
        <v>151</v>
      </c>
      <c r="M25" s="416"/>
    </row>
    <row r="26" spans="1:13" ht="14.5" x14ac:dyDescent="0.35"/>
    <row r="27" spans="1:13" ht="48.75" customHeight="1" x14ac:dyDescent="0.35">
      <c r="A27" s="445" t="s">
        <v>342</v>
      </c>
      <c r="B27" s="445"/>
      <c r="C27" s="445"/>
      <c r="D27" s="445"/>
      <c r="E27" s="445"/>
      <c r="F27" s="445"/>
      <c r="G27" s="445"/>
      <c r="H27" s="445"/>
      <c r="I27" s="445"/>
      <c r="J27" s="445"/>
      <c r="K27" s="445"/>
      <c r="L27" s="445"/>
      <c r="M27" s="445"/>
    </row>
    <row r="28" spans="1:13" ht="14.5" x14ac:dyDescent="0.35"/>
    <row r="29" spans="1:13" ht="50.15" customHeight="1" x14ac:dyDescent="0.35">
      <c r="A29" s="446" t="s">
        <v>43</v>
      </c>
      <c r="B29" s="55" t="s">
        <v>29</v>
      </c>
      <c r="C29" s="51" t="s">
        <v>97</v>
      </c>
      <c r="D29" s="428" t="s">
        <v>44</v>
      </c>
      <c r="E29" s="429"/>
      <c r="F29" s="428" t="s">
        <v>45</v>
      </c>
      <c r="G29" s="429"/>
      <c r="H29" s="441" t="s">
        <v>343</v>
      </c>
      <c r="I29" s="442"/>
      <c r="J29" s="443" t="s">
        <v>47</v>
      </c>
      <c r="K29" s="444"/>
      <c r="L29" s="443" t="s">
        <v>48</v>
      </c>
      <c r="M29" s="444"/>
    </row>
    <row r="30" spans="1:13" ht="50.15" customHeight="1" x14ac:dyDescent="0.35">
      <c r="A30" s="447"/>
      <c r="B30" s="55" t="s">
        <v>344</v>
      </c>
      <c r="C30" s="51" t="s">
        <v>88</v>
      </c>
      <c r="D30" s="428" t="s">
        <v>49</v>
      </c>
      <c r="E30" s="429"/>
      <c r="F30" s="428" t="s">
        <v>50</v>
      </c>
      <c r="G30" s="429"/>
      <c r="H30" s="441" t="s">
        <v>345</v>
      </c>
      <c r="I30" s="442"/>
      <c r="J30" s="441" t="s">
        <v>346</v>
      </c>
      <c r="K30" s="442"/>
      <c r="L30" s="443" t="s">
        <v>47</v>
      </c>
      <c r="M30" s="444"/>
    </row>
    <row r="31" spans="1:13" ht="50.15" customHeight="1" x14ac:dyDescent="0.35">
      <c r="A31" s="447"/>
      <c r="B31" s="55" t="s">
        <v>347</v>
      </c>
      <c r="C31" s="51" t="s">
        <v>89</v>
      </c>
      <c r="D31" s="426" t="s">
        <v>53</v>
      </c>
      <c r="E31" s="427"/>
      <c r="F31" s="428" t="s">
        <v>54</v>
      </c>
      <c r="G31" s="429"/>
      <c r="H31" s="428" t="s">
        <v>55</v>
      </c>
      <c r="I31" s="429"/>
      <c r="J31" s="441" t="s">
        <v>345</v>
      </c>
      <c r="K31" s="442"/>
      <c r="L31" s="441" t="s">
        <v>343</v>
      </c>
      <c r="M31" s="442"/>
    </row>
    <row r="32" spans="1:13" ht="50.15" customHeight="1" x14ac:dyDescent="0.35">
      <c r="A32" s="447"/>
      <c r="B32" s="55" t="s">
        <v>348</v>
      </c>
      <c r="C32" s="51" t="s">
        <v>90</v>
      </c>
      <c r="D32" s="426" t="s">
        <v>56</v>
      </c>
      <c r="E32" s="427"/>
      <c r="F32" s="426" t="s">
        <v>57</v>
      </c>
      <c r="G32" s="427"/>
      <c r="H32" s="428" t="s">
        <v>54</v>
      </c>
      <c r="I32" s="429"/>
      <c r="J32" s="428" t="s">
        <v>50</v>
      </c>
      <c r="K32" s="429"/>
      <c r="L32" s="428" t="s">
        <v>45</v>
      </c>
      <c r="M32" s="429"/>
    </row>
    <row r="33" spans="1:13" ht="50.15" customHeight="1" x14ac:dyDescent="0.35">
      <c r="A33" s="448"/>
      <c r="B33" s="55" t="s">
        <v>25</v>
      </c>
      <c r="C33" s="51" t="s">
        <v>91</v>
      </c>
      <c r="D33" s="426" t="s">
        <v>58</v>
      </c>
      <c r="E33" s="427"/>
      <c r="F33" s="426" t="s">
        <v>56</v>
      </c>
      <c r="G33" s="427"/>
      <c r="H33" s="426" t="s">
        <v>53</v>
      </c>
      <c r="I33" s="427"/>
      <c r="J33" s="426" t="s">
        <v>57</v>
      </c>
      <c r="K33" s="427"/>
      <c r="L33" s="428" t="s">
        <v>44</v>
      </c>
      <c r="M33" s="429"/>
    </row>
    <row r="34" spans="1:13" ht="34.5" customHeight="1" x14ac:dyDescent="0.35">
      <c r="A34" s="432" t="s">
        <v>59</v>
      </c>
      <c r="B34" s="432"/>
      <c r="C34" s="433"/>
      <c r="D34" s="436" t="s">
        <v>60</v>
      </c>
      <c r="E34" s="437"/>
      <c r="F34" s="437"/>
      <c r="G34" s="437"/>
      <c r="H34" s="437"/>
      <c r="I34" s="437"/>
      <c r="J34" s="437"/>
      <c r="K34" s="437"/>
      <c r="L34" s="437"/>
      <c r="M34" s="438"/>
    </row>
    <row r="35" spans="1:13" ht="23.25" customHeight="1" x14ac:dyDescent="0.35">
      <c r="A35" s="434"/>
      <c r="B35" s="434"/>
      <c r="C35" s="435"/>
      <c r="D35" s="439" t="s">
        <v>25</v>
      </c>
      <c r="E35" s="440"/>
      <c r="F35" s="439" t="s">
        <v>26</v>
      </c>
      <c r="G35" s="440"/>
      <c r="H35" s="439" t="s">
        <v>27</v>
      </c>
      <c r="I35" s="440"/>
      <c r="J35" s="439" t="s">
        <v>28</v>
      </c>
      <c r="K35" s="440"/>
      <c r="L35" s="439" t="s">
        <v>29</v>
      </c>
      <c r="M35" s="440"/>
    </row>
    <row r="36" spans="1:13" ht="56.25" customHeight="1" x14ac:dyDescent="0.35">
      <c r="A36" s="417" t="s">
        <v>128</v>
      </c>
      <c r="B36" s="418"/>
      <c r="C36" s="419"/>
      <c r="D36" s="423" t="s">
        <v>159</v>
      </c>
      <c r="E36" s="424"/>
      <c r="F36" s="423" t="s">
        <v>160</v>
      </c>
      <c r="G36" s="424"/>
      <c r="H36" s="423" t="s">
        <v>161</v>
      </c>
      <c r="I36" s="424"/>
      <c r="J36" s="423" t="s">
        <v>162</v>
      </c>
      <c r="K36" s="424"/>
      <c r="L36" s="423" t="s">
        <v>163</v>
      </c>
      <c r="M36" s="424"/>
    </row>
    <row r="37" spans="1:13" ht="56.25" customHeight="1" x14ac:dyDescent="0.35">
      <c r="A37" s="420"/>
      <c r="B37" s="421"/>
      <c r="C37" s="422"/>
      <c r="D37" s="52">
        <v>0</v>
      </c>
      <c r="E37" s="53">
        <f>Contexto!B22*0.01</f>
        <v>57382526.969999999</v>
      </c>
      <c r="F37" s="53">
        <f>E37</f>
        <v>57382526.969999999</v>
      </c>
      <c r="G37" s="53">
        <f>Contexto!B22*0.02</f>
        <v>114765053.94</v>
      </c>
      <c r="H37" s="53">
        <f>G37</f>
        <v>114765053.94</v>
      </c>
      <c r="I37" s="53">
        <f>Contexto!B22*0.05</f>
        <v>286912634.85000002</v>
      </c>
      <c r="J37" s="53">
        <f>I37</f>
        <v>286912634.85000002</v>
      </c>
      <c r="K37" s="53">
        <f>Contexto!B22*0.1</f>
        <v>573825269.70000005</v>
      </c>
      <c r="L37" s="430">
        <f>K37</f>
        <v>573825269.70000005</v>
      </c>
      <c r="M37" s="431"/>
    </row>
    <row r="38" spans="1:13" ht="56.25" customHeight="1" x14ac:dyDescent="0.35">
      <c r="A38" s="417" t="s">
        <v>341</v>
      </c>
      <c r="B38" s="418"/>
      <c r="C38" s="419"/>
      <c r="D38" s="423" t="s">
        <v>164</v>
      </c>
      <c r="E38" s="424"/>
      <c r="F38" s="423" t="s">
        <v>165</v>
      </c>
      <c r="G38" s="424"/>
      <c r="H38" s="423" t="s">
        <v>166</v>
      </c>
      <c r="I38" s="424"/>
      <c r="J38" s="423" t="s">
        <v>167</v>
      </c>
      <c r="K38" s="424"/>
      <c r="L38" s="423" t="s">
        <v>168</v>
      </c>
      <c r="M38" s="424"/>
    </row>
    <row r="39" spans="1:13" ht="56.25" customHeight="1" x14ac:dyDescent="0.35">
      <c r="A39" s="420"/>
      <c r="B39" s="421"/>
      <c r="C39" s="422"/>
      <c r="D39" s="54">
        <v>0</v>
      </c>
      <c r="E39" s="54">
        <f>Contexto!B18*0.01*30</f>
        <v>3</v>
      </c>
      <c r="F39" s="54">
        <f>E39</f>
        <v>3</v>
      </c>
      <c r="G39" s="54">
        <f>Contexto!B18*0.02*30</f>
        <v>6</v>
      </c>
      <c r="H39" s="54">
        <f>G39</f>
        <v>6</v>
      </c>
      <c r="I39" s="54">
        <f>Contexto!B18*0.05*30</f>
        <v>15</v>
      </c>
      <c r="J39" s="54">
        <f>I39</f>
        <v>15</v>
      </c>
      <c r="K39" s="54">
        <f>Contexto!B18*0.1*30</f>
        <v>30</v>
      </c>
      <c r="L39" s="425">
        <f>K39</f>
        <v>30</v>
      </c>
      <c r="M39" s="425"/>
    </row>
    <row r="40" spans="1:13" ht="91.5" customHeight="1" x14ac:dyDescent="0.35">
      <c r="A40" s="415" t="s">
        <v>146</v>
      </c>
      <c r="B40" s="415"/>
      <c r="C40" s="415"/>
      <c r="D40" s="416" t="s">
        <v>169</v>
      </c>
      <c r="E40" s="416"/>
      <c r="F40" s="416" t="s">
        <v>170</v>
      </c>
      <c r="G40" s="416"/>
      <c r="H40" s="416" t="s">
        <v>171</v>
      </c>
      <c r="I40" s="416"/>
      <c r="J40" s="416" t="s">
        <v>172</v>
      </c>
      <c r="K40" s="416"/>
      <c r="L40" s="416" t="s">
        <v>173</v>
      </c>
      <c r="M40" s="416"/>
    </row>
    <row r="41" spans="1:13" ht="14.5" x14ac:dyDescent="0.35"/>
    <row r="42" spans="1:13" ht="14.5" x14ac:dyDescent="0.35"/>
    <row r="43" spans="1:13" ht="14.5" x14ac:dyDescent="0.35"/>
    <row r="44" spans="1:13" ht="14.5" x14ac:dyDescent="0.35"/>
    <row r="45" spans="1:13" ht="14.5" x14ac:dyDescent="0.35"/>
    <row r="46" spans="1:13" ht="14.5" x14ac:dyDescent="0.35"/>
    <row r="47" spans="1:13" ht="14.5" x14ac:dyDescent="0.35"/>
    <row r="48" spans="1:13" ht="14.5" x14ac:dyDescent="0.35"/>
    <row r="49" ht="14.5" x14ac:dyDescent="0.35"/>
    <row r="50" ht="14.5" x14ac:dyDescent="0.35"/>
    <row r="51" ht="14.5" x14ac:dyDescent="0.35"/>
  </sheetData>
  <mergeCells count="117">
    <mergeCell ref="D1:M5"/>
    <mergeCell ref="A7:M8"/>
    <mergeCell ref="A9:M9"/>
    <mergeCell ref="A11:A15"/>
    <mergeCell ref="D11:E11"/>
    <mergeCell ref="F11:G11"/>
    <mergeCell ref="H11:I11"/>
    <mergeCell ref="J11:K11"/>
    <mergeCell ref="L11:M11"/>
    <mergeCell ref="D12:E12"/>
    <mergeCell ref="F12:G12"/>
    <mergeCell ref="H12:I12"/>
    <mergeCell ref="J12:K12"/>
    <mergeCell ref="L12:M12"/>
    <mergeCell ref="D13:E13"/>
    <mergeCell ref="F13:G13"/>
    <mergeCell ref="H13:I13"/>
    <mergeCell ref="J13:K13"/>
    <mergeCell ref="L13:M13"/>
    <mergeCell ref="A16:C17"/>
    <mergeCell ref="D16:M16"/>
    <mergeCell ref="D17:E17"/>
    <mergeCell ref="F17:G17"/>
    <mergeCell ref="H17:I17"/>
    <mergeCell ref="J17:K17"/>
    <mergeCell ref="L17:M17"/>
    <mergeCell ref="D14:E14"/>
    <mergeCell ref="F14:G14"/>
    <mergeCell ref="H14:I14"/>
    <mergeCell ref="J14:K14"/>
    <mergeCell ref="L14:M14"/>
    <mergeCell ref="D15:E15"/>
    <mergeCell ref="F15:G15"/>
    <mergeCell ref="H15:I15"/>
    <mergeCell ref="J15:K15"/>
    <mergeCell ref="L15:M15"/>
    <mergeCell ref="A20:C21"/>
    <mergeCell ref="D20:E20"/>
    <mergeCell ref="F20:G20"/>
    <mergeCell ref="H20:I20"/>
    <mergeCell ref="J20:K20"/>
    <mergeCell ref="L20:M20"/>
    <mergeCell ref="L21:M21"/>
    <mergeCell ref="A18:C19"/>
    <mergeCell ref="D18:E18"/>
    <mergeCell ref="F18:G18"/>
    <mergeCell ref="H18:I18"/>
    <mergeCell ref="J18:K18"/>
    <mergeCell ref="L18:M18"/>
    <mergeCell ref="L19:M19"/>
    <mergeCell ref="A25:C25"/>
    <mergeCell ref="D25:E25"/>
    <mergeCell ref="F25:G25"/>
    <mergeCell ref="H25:I25"/>
    <mergeCell ref="J25:K25"/>
    <mergeCell ref="L25:M25"/>
    <mergeCell ref="A22:C24"/>
    <mergeCell ref="D22:E23"/>
    <mergeCell ref="F22:G23"/>
    <mergeCell ref="H22:I23"/>
    <mergeCell ref="J22:K23"/>
    <mergeCell ref="L22:M23"/>
    <mergeCell ref="L24:M24"/>
    <mergeCell ref="J30:K30"/>
    <mergeCell ref="L30:M30"/>
    <mergeCell ref="D31:E31"/>
    <mergeCell ref="F31:G31"/>
    <mergeCell ref="H31:I31"/>
    <mergeCell ref="J31:K31"/>
    <mergeCell ref="L31:M31"/>
    <mergeCell ref="A27:M27"/>
    <mergeCell ref="A29:A33"/>
    <mergeCell ref="D29:E29"/>
    <mergeCell ref="F29:G29"/>
    <mergeCell ref="H29:I29"/>
    <mergeCell ref="J29:K29"/>
    <mergeCell ref="L29:M29"/>
    <mergeCell ref="D30:E30"/>
    <mergeCell ref="F30:G30"/>
    <mergeCell ref="H30:I30"/>
    <mergeCell ref="D32:E32"/>
    <mergeCell ref="F32:G32"/>
    <mergeCell ref="H32:I32"/>
    <mergeCell ref="J32:K32"/>
    <mergeCell ref="L32:M32"/>
    <mergeCell ref="D33:E33"/>
    <mergeCell ref="F33:G33"/>
    <mergeCell ref="H33:I33"/>
    <mergeCell ref="J33:K33"/>
    <mergeCell ref="L33:M33"/>
    <mergeCell ref="A36:C37"/>
    <mergeCell ref="D36:E36"/>
    <mergeCell ref="F36:G36"/>
    <mergeCell ref="H36:I36"/>
    <mergeCell ref="J36:K36"/>
    <mergeCell ref="L36:M36"/>
    <mergeCell ref="L37:M37"/>
    <mergeCell ref="A34:C35"/>
    <mergeCell ref="D34:M34"/>
    <mergeCell ref="D35:E35"/>
    <mergeCell ref="F35:G35"/>
    <mergeCell ref="H35:I35"/>
    <mergeCell ref="J35:K35"/>
    <mergeCell ref="L35:M35"/>
    <mergeCell ref="A40:C40"/>
    <mergeCell ref="D40:E40"/>
    <mergeCell ref="F40:G40"/>
    <mergeCell ref="H40:I40"/>
    <mergeCell ref="J40:K40"/>
    <mergeCell ref="L40:M40"/>
    <mergeCell ref="A38:C39"/>
    <mergeCell ref="D38:E38"/>
    <mergeCell ref="F38:G38"/>
    <mergeCell ref="H38:I38"/>
    <mergeCell ref="J38:K38"/>
    <mergeCell ref="L38:M38"/>
    <mergeCell ref="L39:M3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8" tint="-0.249977111117893"/>
  </sheetPr>
  <dimension ref="A1:AL87"/>
  <sheetViews>
    <sheetView workbookViewId="0"/>
  </sheetViews>
  <sheetFormatPr baseColWidth="10" defaultColWidth="11" defaultRowHeight="14.5" x14ac:dyDescent="0.35"/>
  <cols>
    <col min="1" max="1" width="19.58203125" style="1" bestFit="1" customWidth="1"/>
    <col min="2" max="2" width="1.75" style="1" customWidth="1"/>
    <col min="3" max="3" width="23.58203125" style="1" bestFit="1" customWidth="1"/>
    <col min="4" max="4" width="1.5" style="1" customWidth="1"/>
    <col min="5" max="5" width="21.25" style="1" customWidth="1"/>
    <col min="6" max="6" width="1.5" style="1" customWidth="1"/>
    <col min="7" max="7" width="21.25" style="1" customWidth="1"/>
    <col min="8" max="8" width="1.58203125" style="1" customWidth="1"/>
    <col min="9" max="9" width="19.25" style="1" customWidth="1"/>
    <col min="10" max="10" width="1.58203125" style="1" customWidth="1"/>
    <col min="11" max="11" width="17.33203125" style="1" customWidth="1"/>
    <col min="12" max="12" width="1" style="1" customWidth="1"/>
    <col min="13" max="13" width="16.25" style="1" bestFit="1" customWidth="1"/>
    <col min="14" max="14" width="1" style="1" customWidth="1"/>
    <col min="15" max="15" width="10.75" style="1" bestFit="1" customWidth="1"/>
    <col min="16" max="16" width="1" style="1" customWidth="1"/>
    <col min="17" max="17" width="31.25" style="1" customWidth="1"/>
    <col min="18" max="18" width="1" style="1" customWidth="1"/>
    <col min="19" max="19" width="31.75" style="1" customWidth="1"/>
    <col min="20" max="20" width="1" style="1" customWidth="1"/>
    <col min="21" max="21" width="23.58203125" style="1" bestFit="1" customWidth="1"/>
    <col min="22" max="22" width="1" style="1" customWidth="1"/>
    <col min="23" max="23" width="24.08203125" style="1" customWidth="1"/>
    <col min="24" max="24" width="1" style="1" customWidth="1"/>
    <col min="25" max="25" width="18.75" style="1" bestFit="1" customWidth="1"/>
    <col min="26" max="26" width="1" style="1" customWidth="1"/>
    <col min="27" max="27" width="24.75" style="1" bestFit="1" customWidth="1"/>
    <col min="28" max="28" width="1.58203125" style="1" customWidth="1"/>
    <col min="29" max="29" width="18.25" style="1" bestFit="1" customWidth="1"/>
    <col min="30" max="30" width="1.5" style="1" customWidth="1"/>
    <col min="31" max="31" width="22.5" style="1" bestFit="1" customWidth="1"/>
    <col min="32" max="32" width="1" style="1" customWidth="1"/>
    <col min="33" max="33" width="15.25" style="1" customWidth="1"/>
    <col min="34" max="34" width="1" style="1" customWidth="1"/>
    <col min="35" max="35" width="18.08203125" style="1" customWidth="1"/>
    <col min="36" max="36" width="1" style="1" customWidth="1"/>
    <col min="37" max="37" width="15.5" style="1" customWidth="1"/>
    <col min="38" max="38" width="1.5" style="1" customWidth="1"/>
    <col min="39" max="39" width="34.5" style="1" bestFit="1" customWidth="1"/>
    <col min="40" max="16384" width="11" style="1"/>
  </cols>
  <sheetData>
    <row r="1" spans="1:38" ht="29" x14ac:dyDescent="0.35">
      <c r="A1" s="56" t="s">
        <v>349</v>
      </c>
      <c r="B1" s="57"/>
      <c r="C1" s="56" t="s">
        <v>350</v>
      </c>
      <c r="D1" s="58"/>
      <c r="E1" s="56" t="s">
        <v>351</v>
      </c>
      <c r="F1" s="59"/>
      <c r="G1" s="60" t="s">
        <v>352</v>
      </c>
      <c r="H1" s="58"/>
      <c r="I1" s="60" t="s">
        <v>353</v>
      </c>
      <c r="J1" s="58"/>
      <c r="K1" s="56" t="s">
        <v>354</v>
      </c>
      <c r="L1" s="58"/>
      <c r="M1" s="56" t="s">
        <v>355</v>
      </c>
      <c r="N1" s="58"/>
      <c r="O1" s="56" t="s">
        <v>356</v>
      </c>
      <c r="P1" s="58"/>
      <c r="Q1" s="56" t="s">
        <v>357</v>
      </c>
      <c r="R1" s="58"/>
      <c r="S1" s="56" t="s">
        <v>358</v>
      </c>
      <c r="T1" s="58"/>
      <c r="V1" s="58"/>
      <c r="X1" s="57"/>
      <c r="Z1" s="57"/>
      <c r="AB1" s="57"/>
      <c r="AD1" s="57"/>
      <c r="AE1" s="58" t="s">
        <v>359</v>
      </c>
      <c r="AF1" s="57"/>
      <c r="AG1" s="58" t="s">
        <v>360</v>
      </c>
      <c r="AH1" s="57"/>
      <c r="AI1" s="58" t="s">
        <v>361</v>
      </c>
      <c r="AJ1" s="57"/>
      <c r="AK1" s="58" t="s">
        <v>362</v>
      </c>
      <c r="AL1" s="61"/>
    </row>
    <row r="2" spans="1:38" x14ac:dyDescent="0.35">
      <c r="A2" s="1" t="s">
        <v>363</v>
      </c>
      <c r="B2" s="1" t="s">
        <v>364</v>
      </c>
      <c r="C2" s="1" t="s">
        <v>365</v>
      </c>
      <c r="D2" s="1" t="s">
        <v>364</v>
      </c>
      <c r="E2" s="1" t="s">
        <v>366</v>
      </c>
      <c r="G2" s="1" t="s">
        <v>367</v>
      </c>
      <c r="H2" s="1" t="s">
        <v>364</v>
      </c>
      <c r="I2" s="1" t="s">
        <v>368</v>
      </c>
      <c r="K2" s="1" t="s">
        <v>369</v>
      </c>
      <c r="M2" s="1" t="s">
        <v>370</v>
      </c>
      <c r="O2" s="1" t="s">
        <v>371</v>
      </c>
      <c r="P2" s="1" t="s">
        <v>364</v>
      </c>
      <c r="Q2" s="1" t="s">
        <v>372</v>
      </c>
      <c r="S2" s="1" t="s">
        <v>373</v>
      </c>
      <c r="AE2" s="1" t="s">
        <v>374</v>
      </c>
      <c r="AG2" s="1" t="s">
        <v>375</v>
      </c>
      <c r="AI2" s="1" t="s">
        <v>289</v>
      </c>
      <c r="AK2" s="1" t="s">
        <v>376</v>
      </c>
    </row>
    <row r="3" spans="1:38" x14ac:dyDescent="0.35">
      <c r="A3" s="1" t="s">
        <v>377</v>
      </c>
      <c r="B3" s="1" t="s">
        <v>364</v>
      </c>
      <c r="C3" s="1" t="s">
        <v>378</v>
      </c>
      <c r="D3" s="1" t="s">
        <v>364</v>
      </c>
      <c r="E3" s="1" t="s">
        <v>379</v>
      </c>
      <c r="G3" s="1" t="s">
        <v>380</v>
      </c>
      <c r="H3" s="1" t="s">
        <v>364</v>
      </c>
      <c r="I3" s="1" t="s">
        <v>381</v>
      </c>
      <c r="K3" s="1" t="s">
        <v>251</v>
      </c>
      <c r="M3" s="1" t="s">
        <v>382</v>
      </c>
      <c r="O3" s="1" t="s">
        <v>383</v>
      </c>
      <c r="P3" s="1" t="s">
        <v>364</v>
      </c>
      <c r="Q3" s="1" t="s">
        <v>384</v>
      </c>
      <c r="S3" s="1" t="s">
        <v>385</v>
      </c>
      <c r="AE3" s="1" t="s">
        <v>386</v>
      </c>
      <c r="AG3" s="1" t="s">
        <v>387</v>
      </c>
      <c r="AI3" s="1" t="s">
        <v>388</v>
      </c>
      <c r="AK3" s="1" t="s">
        <v>389</v>
      </c>
    </row>
    <row r="4" spans="1:38" x14ac:dyDescent="0.35">
      <c r="A4" s="1" t="s">
        <v>390</v>
      </c>
      <c r="B4" s="1" t="s">
        <v>364</v>
      </c>
      <c r="C4" s="1" t="s">
        <v>391</v>
      </c>
      <c r="D4" s="1" t="s">
        <v>364</v>
      </c>
      <c r="E4" s="1" t="s">
        <v>392</v>
      </c>
      <c r="G4" s="1" t="s">
        <v>393</v>
      </c>
      <c r="H4" s="1" t="s">
        <v>364</v>
      </c>
      <c r="I4" s="1" t="s">
        <v>394</v>
      </c>
      <c r="K4" s="1" t="s">
        <v>395</v>
      </c>
      <c r="L4" s="1" t="s">
        <v>364</v>
      </c>
      <c r="O4" s="1" t="s">
        <v>396</v>
      </c>
      <c r="P4" s="1" t="s">
        <v>364</v>
      </c>
      <c r="Q4" s="1" t="s">
        <v>397</v>
      </c>
      <c r="S4" s="1" t="s">
        <v>398</v>
      </c>
      <c r="AE4" s="1" t="s">
        <v>399</v>
      </c>
      <c r="AI4" s="1" t="s">
        <v>400</v>
      </c>
      <c r="AK4" s="1" t="s">
        <v>401</v>
      </c>
    </row>
    <row r="5" spans="1:38" x14ac:dyDescent="0.35">
      <c r="A5" s="1" t="s">
        <v>402</v>
      </c>
      <c r="B5" s="1" t="s">
        <v>364</v>
      </c>
      <c r="C5" s="1" t="s">
        <v>403</v>
      </c>
      <c r="D5" s="1" t="s">
        <v>364</v>
      </c>
      <c r="E5" s="1" t="s">
        <v>404</v>
      </c>
      <c r="G5" s="1" t="s">
        <v>405</v>
      </c>
      <c r="H5" s="1" t="s">
        <v>364</v>
      </c>
      <c r="K5" s="1" t="s">
        <v>406</v>
      </c>
      <c r="Q5" s="1" t="s">
        <v>407</v>
      </c>
      <c r="S5" s="1" t="s">
        <v>408</v>
      </c>
      <c r="AE5" s="1" t="s">
        <v>409</v>
      </c>
      <c r="AK5" s="1" t="s">
        <v>410</v>
      </c>
    </row>
    <row r="6" spans="1:38" x14ac:dyDescent="0.35">
      <c r="B6" s="1" t="s">
        <v>364</v>
      </c>
      <c r="C6" s="1" t="s">
        <v>411</v>
      </c>
      <c r="D6" s="1" t="s">
        <v>364</v>
      </c>
      <c r="G6" s="1" t="s">
        <v>412</v>
      </c>
      <c r="H6" s="1" t="s">
        <v>364</v>
      </c>
      <c r="K6" s="1" t="s">
        <v>413</v>
      </c>
      <c r="Q6" s="1" t="s">
        <v>414</v>
      </c>
      <c r="S6" s="1" t="s">
        <v>415</v>
      </c>
      <c r="AK6" s="1" t="s">
        <v>416</v>
      </c>
    </row>
    <row r="7" spans="1:38" x14ac:dyDescent="0.35">
      <c r="C7" s="1" t="s">
        <v>417</v>
      </c>
      <c r="D7" s="1" t="s">
        <v>364</v>
      </c>
      <c r="Q7" s="1" t="s">
        <v>418</v>
      </c>
      <c r="S7" s="1" t="s">
        <v>419</v>
      </c>
      <c r="AK7" s="1" t="s">
        <v>307</v>
      </c>
    </row>
    <row r="8" spans="1:38" x14ac:dyDescent="0.35">
      <c r="C8" s="1" t="s">
        <v>420</v>
      </c>
      <c r="D8" s="1" t="s">
        <v>364</v>
      </c>
      <c r="Q8" s="1" t="s">
        <v>421</v>
      </c>
      <c r="S8" s="1" t="s">
        <v>422</v>
      </c>
    </row>
    <row r="9" spans="1:38" x14ac:dyDescent="0.35">
      <c r="C9" s="1" t="s">
        <v>423</v>
      </c>
      <c r="D9" s="1" t="s">
        <v>364</v>
      </c>
      <c r="S9" s="1" t="s">
        <v>424</v>
      </c>
    </row>
    <row r="10" spans="1:38" x14ac:dyDescent="0.35">
      <c r="C10" s="1" t="s">
        <v>425</v>
      </c>
      <c r="D10" s="1" t="s">
        <v>364</v>
      </c>
      <c r="S10" s="1" t="s">
        <v>426</v>
      </c>
    </row>
    <row r="11" spans="1:38" x14ac:dyDescent="0.35">
      <c r="C11" s="1" t="s">
        <v>427</v>
      </c>
      <c r="D11" s="1" t="s">
        <v>364</v>
      </c>
    </row>
    <row r="12" spans="1:38" x14ac:dyDescent="0.35">
      <c r="C12" s="1" t="s">
        <v>428</v>
      </c>
      <c r="D12" s="1" t="s">
        <v>364</v>
      </c>
    </row>
    <row r="13" spans="1:38" x14ac:dyDescent="0.35">
      <c r="C13" s="1" t="s">
        <v>429</v>
      </c>
      <c r="D13" s="1" t="s">
        <v>364</v>
      </c>
    </row>
    <row r="14" spans="1:38" x14ac:dyDescent="0.35">
      <c r="C14" s="1" t="s">
        <v>430</v>
      </c>
      <c r="D14" s="1" t="s">
        <v>364</v>
      </c>
    </row>
    <row r="15" spans="1:38" x14ac:dyDescent="0.35">
      <c r="C15" s="1" t="s">
        <v>431</v>
      </c>
      <c r="D15" s="1" t="s">
        <v>364</v>
      </c>
    </row>
    <row r="16" spans="1:38" x14ac:dyDescent="0.35">
      <c r="C16" s="1" t="s">
        <v>432</v>
      </c>
      <c r="D16" s="1" t="s">
        <v>364</v>
      </c>
    </row>
    <row r="17" spans="1:4" x14ac:dyDescent="0.35">
      <c r="A17" s="62"/>
      <c r="C17" s="1" t="s">
        <v>433</v>
      </c>
      <c r="D17" s="1" t="s">
        <v>364</v>
      </c>
    </row>
    <row r="18" spans="1:4" x14ac:dyDescent="0.35">
      <c r="C18" s="1" t="s">
        <v>434</v>
      </c>
      <c r="D18" s="1" t="s">
        <v>364</v>
      </c>
    </row>
    <row r="19" spans="1:4" x14ac:dyDescent="0.35">
      <c r="C19" s="1" t="s">
        <v>435</v>
      </c>
      <c r="D19" s="1" t="s">
        <v>364</v>
      </c>
    </row>
    <row r="20" spans="1:4" x14ac:dyDescent="0.35">
      <c r="C20" s="1" t="s">
        <v>436</v>
      </c>
      <c r="D20" s="1" t="s">
        <v>364</v>
      </c>
    </row>
    <row r="21" spans="1:4" x14ac:dyDescent="0.35">
      <c r="C21" s="1" t="s">
        <v>437</v>
      </c>
      <c r="D21" s="1" t="s">
        <v>364</v>
      </c>
    </row>
    <row r="22" spans="1:4" x14ac:dyDescent="0.35">
      <c r="C22" s="1" t="s">
        <v>438</v>
      </c>
      <c r="D22" s="1" t="s">
        <v>364</v>
      </c>
    </row>
    <row r="23" spans="1:4" x14ac:dyDescent="0.35">
      <c r="C23" s="1" t="s">
        <v>439</v>
      </c>
      <c r="D23" s="1" t="s">
        <v>364</v>
      </c>
    </row>
    <row r="24" spans="1:4" x14ac:dyDescent="0.35">
      <c r="C24" s="1" t="s">
        <v>440</v>
      </c>
      <c r="D24" s="1" t="s">
        <v>364</v>
      </c>
    </row>
    <row r="25" spans="1:4" x14ac:dyDescent="0.35">
      <c r="C25" s="1" t="s">
        <v>441</v>
      </c>
      <c r="D25" s="1" t="s">
        <v>364</v>
      </c>
    </row>
    <row r="26" spans="1:4" x14ac:dyDescent="0.35">
      <c r="C26" s="1" t="s">
        <v>442</v>
      </c>
      <c r="D26" s="1" t="s">
        <v>364</v>
      </c>
    </row>
    <row r="27" spans="1:4" x14ac:dyDescent="0.35">
      <c r="C27" s="1" t="s">
        <v>443</v>
      </c>
      <c r="D27" s="1" t="s">
        <v>364</v>
      </c>
    </row>
    <row r="28" spans="1:4" x14ac:dyDescent="0.35">
      <c r="C28" s="1" t="s">
        <v>444</v>
      </c>
      <c r="D28" s="1" t="s">
        <v>364</v>
      </c>
    </row>
    <row r="29" spans="1:4" x14ac:dyDescent="0.35">
      <c r="C29" s="1" t="s">
        <v>445</v>
      </c>
      <c r="D29" s="1" t="s">
        <v>364</v>
      </c>
    </row>
    <row r="30" spans="1:4" x14ac:dyDescent="0.35">
      <c r="C30" s="1" t="s">
        <v>446</v>
      </c>
      <c r="D30" s="1" t="s">
        <v>364</v>
      </c>
    </row>
    <row r="31" spans="1:4" x14ac:dyDescent="0.35">
      <c r="C31" s="1" t="s">
        <v>447</v>
      </c>
      <c r="D31" s="1" t="s">
        <v>364</v>
      </c>
    </row>
    <row r="32" spans="1:4" x14ac:dyDescent="0.35">
      <c r="C32" s="1" t="s">
        <v>448</v>
      </c>
      <c r="D32" s="1" t="s">
        <v>364</v>
      </c>
    </row>
    <row r="33" spans="3:4" x14ac:dyDescent="0.35">
      <c r="C33" s="1" t="s">
        <v>449</v>
      </c>
      <c r="D33" s="1" t="s">
        <v>364</v>
      </c>
    </row>
    <row r="34" spans="3:4" x14ac:dyDescent="0.35">
      <c r="C34" s="1" t="s">
        <v>450</v>
      </c>
      <c r="D34" s="1" t="s">
        <v>364</v>
      </c>
    </row>
    <row r="35" spans="3:4" x14ac:dyDescent="0.35">
      <c r="C35" s="1" t="s">
        <v>451</v>
      </c>
      <c r="D35" s="1" t="s">
        <v>364</v>
      </c>
    </row>
    <row r="36" spans="3:4" x14ac:dyDescent="0.35">
      <c r="C36" s="1" t="s">
        <v>452</v>
      </c>
      <c r="D36" s="1" t="s">
        <v>364</v>
      </c>
    </row>
    <row r="37" spans="3:4" x14ac:dyDescent="0.35">
      <c r="C37" s="1" t="s">
        <v>453</v>
      </c>
      <c r="D37" s="1" t="s">
        <v>364</v>
      </c>
    </row>
    <row r="38" spans="3:4" x14ac:dyDescent="0.35">
      <c r="C38" s="1" t="s">
        <v>454</v>
      </c>
      <c r="D38" s="1" t="s">
        <v>364</v>
      </c>
    </row>
    <row r="39" spans="3:4" x14ac:dyDescent="0.35">
      <c r="C39" s="1" t="s">
        <v>455</v>
      </c>
      <c r="D39" s="1" t="s">
        <v>364</v>
      </c>
    </row>
    <row r="40" spans="3:4" x14ac:dyDescent="0.35">
      <c r="C40" s="1" t="s">
        <v>456</v>
      </c>
      <c r="D40" s="1" t="s">
        <v>364</v>
      </c>
    </row>
    <row r="41" spans="3:4" x14ac:dyDescent="0.35">
      <c r="C41" s="1" t="s">
        <v>457</v>
      </c>
      <c r="D41" s="1" t="s">
        <v>364</v>
      </c>
    </row>
    <row r="42" spans="3:4" x14ac:dyDescent="0.35">
      <c r="C42" s="1" t="s">
        <v>458</v>
      </c>
      <c r="D42" s="1" t="s">
        <v>364</v>
      </c>
    </row>
    <row r="43" spans="3:4" x14ac:dyDescent="0.35">
      <c r="C43" s="1" t="s">
        <v>459</v>
      </c>
      <c r="D43" s="1" t="s">
        <v>364</v>
      </c>
    </row>
    <row r="44" spans="3:4" x14ac:dyDescent="0.35">
      <c r="C44" s="1" t="s">
        <v>460</v>
      </c>
      <c r="D44" s="1" t="s">
        <v>364</v>
      </c>
    </row>
    <row r="45" spans="3:4" x14ac:dyDescent="0.35">
      <c r="C45" s="1" t="s">
        <v>461</v>
      </c>
      <c r="D45" s="1" t="s">
        <v>364</v>
      </c>
    </row>
    <row r="46" spans="3:4" x14ac:dyDescent="0.35">
      <c r="C46" s="1" t="s">
        <v>462</v>
      </c>
      <c r="D46" s="1" t="s">
        <v>364</v>
      </c>
    </row>
    <row r="47" spans="3:4" x14ac:dyDescent="0.35">
      <c r="C47" s="1" t="s">
        <v>463</v>
      </c>
      <c r="D47" s="1" t="s">
        <v>364</v>
      </c>
    </row>
    <row r="48" spans="3:4" x14ac:dyDescent="0.35">
      <c r="C48" s="1" t="s">
        <v>464</v>
      </c>
      <c r="D48" s="1" t="s">
        <v>364</v>
      </c>
    </row>
    <row r="49" spans="3:4" x14ac:dyDescent="0.35">
      <c r="C49" s="1" t="s">
        <v>465</v>
      </c>
      <c r="D49" s="1" t="s">
        <v>364</v>
      </c>
    </row>
    <row r="50" spans="3:4" x14ac:dyDescent="0.35">
      <c r="C50" s="1" t="s">
        <v>466</v>
      </c>
      <c r="D50" s="1" t="s">
        <v>364</v>
      </c>
    </row>
    <row r="51" spans="3:4" x14ac:dyDescent="0.35">
      <c r="C51" s="1" t="s">
        <v>467</v>
      </c>
      <c r="D51" s="1" t="s">
        <v>364</v>
      </c>
    </row>
    <row r="52" spans="3:4" x14ac:dyDescent="0.35">
      <c r="C52" s="1" t="s">
        <v>468</v>
      </c>
      <c r="D52" s="1" t="s">
        <v>364</v>
      </c>
    </row>
    <row r="53" spans="3:4" x14ac:dyDescent="0.35">
      <c r="C53" s="1" t="s">
        <v>469</v>
      </c>
      <c r="D53" s="1" t="s">
        <v>364</v>
      </c>
    </row>
    <row r="54" spans="3:4" x14ac:dyDescent="0.35">
      <c r="C54" s="1" t="s">
        <v>470</v>
      </c>
      <c r="D54" s="1" t="s">
        <v>364</v>
      </c>
    </row>
    <row r="55" spans="3:4" x14ac:dyDescent="0.35">
      <c r="C55" s="1" t="s">
        <v>471</v>
      </c>
      <c r="D55" s="1" t="s">
        <v>364</v>
      </c>
    </row>
    <row r="56" spans="3:4" x14ac:dyDescent="0.35">
      <c r="C56" s="1" t="s">
        <v>472</v>
      </c>
      <c r="D56" s="1" t="s">
        <v>364</v>
      </c>
    </row>
    <row r="57" spans="3:4" x14ac:dyDescent="0.35">
      <c r="C57" s="1" t="s">
        <v>473</v>
      </c>
      <c r="D57" s="1" t="s">
        <v>364</v>
      </c>
    </row>
    <row r="58" spans="3:4" x14ac:dyDescent="0.35">
      <c r="C58" s="1" t="s">
        <v>474</v>
      </c>
      <c r="D58" s="1" t="s">
        <v>364</v>
      </c>
    </row>
    <row r="59" spans="3:4" x14ac:dyDescent="0.35">
      <c r="C59" s="1" t="s">
        <v>475</v>
      </c>
      <c r="D59" s="1" t="s">
        <v>364</v>
      </c>
    </row>
    <row r="60" spans="3:4" x14ac:dyDescent="0.35">
      <c r="C60" s="1" t="s">
        <v>476</v>
      </c>
      <c r="D60" s="1" t="s">
        <v>364</v>
      </c>
    </row>
    <row r="61" spans="3:4" x14ac:dyDescent="0.35">
      <c r="C61" s="1" t="s">
        <v>477</v>
      </c>
      <c r="D61" s="1" t="s">
        <v>364</v>
      </c>
    </row>
    <row r="62" spans="3:4" x14ac:dyDescent="0.35">
      <c r="C62" s="1" t="s">
        <v>478</v>
      </c>
      <c r="D62" s="1" t="s">
        <v>364</v>
      </c>
    </row>
    <row r="63" spans="3:4" x14ac:dyDescent="0.35">
      <c r="C63" s="1" t="s">
        <v>479</v>
      </c>
      <c r="D63" s="1" t="s">
        <v>364</v>
      </c>
    </row>
    <row r="64" spans="3:4" x14ac:dyDescent="0.35">
      <c r="C64" s="1" t="s">
        <v>480</v>
      </c>
      <c r="D64" s="1" t="s">
        <v>364</v>
      </c>
    </row>
    <row r="65" spans="3:4" x14ac:dyDescent="0.35">
      <c r="C65" s="1" t="s">
        <v>481</v>
      </c>
      <c r="D65" s="1" t="s">
        <v>364</v>
      </c>
    </row>
    <row r="66" spans="3:4" x14ac:dyDescent="0.35">
      <c r="C66" s="1" t="s">
        <v>482</v>
      </c>
      <c r="D66" s="1" t="s">
        <v>364</v>
      </c>
    </row>
    <row r="67" spans="3:4" x14ac:dyDescent="0.35">
      <c r="C67" s="1" t="s">
        <v>483</v>
      </c>
      <c r="D67" s="1" t="s">
        <v>364</v>
      </c>
    </row>
    <row r="68" spans="3:4" x14ac:dyDescent="0.35">
      <c r="C68" s="1" t="s">
        <v>484</v>
      </c>
      <c r="D68" s="1" t="s">
        <v>364</v>
      </c>
    </row>
    <row r="69" spans="3:4" x14ac:dyDescent="0.35">
      <c r="C69" s="1" t="s">
        <v>485</v>
      </c>
      <c r="D69" s="1" t="s">
        <v>364</v>
      </c>
    </row>
    <row r="70" spans="3:4" x14ac:dyDescent="0.35">
      <c r="C70" s="1" t="s">
        <v>486</v>
      </c>
      <c r="D70" s="1" t="s">
        <v>364</v>
      </c>
    </row>
    <row r="71" spans="3:4" x14ac:dyDescent="0.35">
      <c r="C71" s="1" t="s">
        <v>487</v>
      </c>
      <c r="D71" s="1" t="s">
        <v>364</v>
      </c>
    </row>
    <row r="72" spans="3:4" x14ac:dyDescent="0.35">
      <c r="C72" s="1" t="s">
        <v>488</v>
      </c>
      <c r="D72" s="1" t="s">
        <v>364</v>
      </c>
    </row>
    <row r="73" spans="3:4" x14ac:dyDescent="0.35">
      <c r="C73" s="1" t="s">
        <v>489</v>
      </c>
      <c r="D73" s="1" t="s">
        <v>364</v>
      </c>
    </row>
    <row r="74" spans="3:4" x14ac:dyDescent="0.35">
      <c r="D74" s="1" t="s">
        <v>364</v>
      </c>
    </row>
    <row r="75" spans="3:4" x14ac:dyDescent="0.35">
      <c r="D75" s="1" t="s">
        <v>364</v>
      </c>
    </row>
    <row r="83" spans="3:3" x14ac:dyDescent="0.35">
      <c r="C83" s="1" t="s">
        <v>490</v>
      </c>
    </row>
    <row r="84" spans="3:3" x14ac:dyDescent="0.35">
      <c r="C84" s="1" t="s">
        <v>491</v>
      </c>
    </row>
    <row r="85" spans="3:3" x14ac:dyDescent="0.35">
      <c r="C85" s="1" t="s">
        <v>492</v>
      </c>
    </row>
    <row r="86" spans="3:3" x14ac:dyDescent="0.35">
      <c r="C86" s="1" t="s">
        <v>493</v>
      </c>
    </row>
    <row r="87" spans="3:3" x14ac:dyDescent="0.35">
      <c r="C87" s="1" t="s">
        <v>494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8" tint="-0.249977111117893"/>
  </sheetPr>
  <dimension ref="A2:K70"/>
  <sheetViews>
    <sheetView showGridLines="0" zoomScale="90" zoomScaleNormal="90" workbookViewId="0">
      <selection activeCell="D3" sqref="D3"/>
    </sheetView>
  </sheetViews>
  <sheetFormatPr baseColWidth="10" defaultColWidth="11" defaultRowHeight="14.5" x14ac:dyDescent="0.35"/>
  <cols>
    <col min="1" max="1" width="17.58203125" style="1" customWidth="1"/>
    <col min="2" max="2" width="24.33203125" style="1" customWidth="1"/>
    <col min="3" max="3" width="15.5" style="1" customWidth="1"/>
    <col min="4" max="4" width="17" style="1" customWidth="1"/>
    <col min="5" max="5" width="18.33203125" style="1" customWidth="1"/>
    <col min="6" max="8" width="16.33203125" style="1" customWidth="1"/>
    <col min="9" max="9" width="16.83203125" style="1" customWidth="1"/>
    <col min="10" max="10" width="22.08203125" style="1" customWidth="1"/>
    <col min="11" max="16384" width="11" style="1"/>
  </cols>
  <sheetData>
    <row r="2" spans="1:11" ht="39" customHeight="1" x14ac:dyDescent="0.35">
      <c r="A2" s="63" t="s">
        <v>495</v>
      </c>
      <c r="B2" s="63" t="s">
        <v>496</v>
      </c>
      <c r="C2" s="63" t="s">
        <v>497</v>
      </c>
      <c r="D2" s="63" t="s">
        <v>498</v>
      </c>
      <c r="E2" s="63" t="s">
        <v>499</v>
      </c>
      <c r="F2" s="63" t="s">
        <v>500</v>
      </c>
      <c r="G2" s="63" t="s">
        <v>501</v>
      </c>
      <c r="H2" s="63" t="s">
        <v>502</v>
      </c>
      <c r="I2" s="63" t="s">
        <v>503</v>
      </c>
      <c r="J2" s="63" t="s">
        <v>504</v>
      </c>
      <c r="K2" s="63" t="s">
        <v>505</v>
      </c>
    </row>
    <row r="3" spans="1:11" x14ac:dyDescent="0.35">
      <c r="A3" s="64" t="s">
        <v>506</v>
      </c>
      <c r="B3" s="65" t="s">
        <v>507</v>
      </c>
      <c r="C3" s="64" t="str">
        <f>+"5 - Muy alto"</f>
        <v>5 - Muy alto</v>
      </c>
      <c r="D3" s="64" t="str">
        <f>"+5 Muy alto - Beneficio Mayor al 10% del valor del contrato"</f>
        <v>+5 Muy alto - Beneficio Mayor al 10% del valor del contrato</v>
      </c>
      <c r="E3" s="64" t="str">
        <f>"+5 Muy alto - Mejora superior al 10% del plazo de ejecución del contrato"</f>
        <v>+5 Muy alto - Mejora superior al 10% del plazo de ejecución del contrato</v>
      </c>
      <c r="F3" s="64" t="str">
        <f>"+5 Muy alto - El contrato se cumpliría con mejores métricas de las esperadas frente a los parámetros pactados mayores a un 15%."</f>
        <v>+5 Muy alto - El contrato se cumpliría con mejores métricas de las esperadas frente a los parámetros pactados mayores a un 15%.</v>
      </c>
      <c r="G3" s="64" t="str">
        <f>"MUY ALTO 
Causa un efecto trascendental en el  logro de los objetivos estratégicos"</f>
        <v>MUY ALTO 
Causa un efecto trascendental en el  logro de los objetivos estratégicos</v>
      </c>
      <c r="H3" s="64" t="s">
        <v>508</v>
      </c>
      <c r="I3" s="64" t="s">
        <v>509</v>
      </c>
      <c r="J3" s="64" t="s">
        <v>510</v>
      </c>
      <c r="K3" s="64">
        <v>0</v>
      </c>
    </row>
    <row r="4" spans="1:11" x14ac:dyDescent="0.35">
      <c r="A4" s="65" t="s">
        <v>511</v>
      </c>
      <c r="B4" s="65" t="s">
        <v>512</v>
      </c>
      <c r="C4" s="65" t="str">
        <f>"4 - Alto"</f>
        <v>4 - Alto</v>
      </c>
      <c r="D4" s="65" t="str">
        <f>"+4 Alto - Beneficio del 5% al 10% del valor del contrato"</f>
        <v>+4 Alto - Beneficio del 5% al 10% del valor del contrato</v>
      </c>
      <c r="E4" s="65" t="str">
        <f>"+4 Alto - Mejora entre el 5% y el 10% del plazo de ejecución del contrato"</f>
        <v>+4 Alto - Mejora entre el 5% y el 10% del plazo de ejecución del contrato</v>
      </c>
      <c r="F4" s="65" t="str">
        <f>"+4 Alto - El contrato se cumpliría con mejores métricas de las esperadas frente a los parámetros pactados entre un 10% y un 15%"</f>
        <v>+4 Alto - El contrato se cumpliría con mejores métricas de las esperadas frente a los parámetros pactados entre un 10% y un 15%</v>
      </c>
      <c r="G4" s="65" t="str">
        <f>"ALTO 
Causa un efecto importante en el logro de los objetivos estratégicos"</f>
        <v>ALTO 
Causa un efecto importante en el logro de los objetivos estratégicos</v>
      </c>
      <c r="H4" s="65" t="s">
        <v>289</v>
      </c>
      <c r="I4" s="65" t="s">
        <v>513</v>
      </c>
      <c r="J4" s="65" t="s">
        <v>514</v>
      </c>
      <c r="K4" s="65">
        <v>-1</v>
      </c>
    </row>
    <row r="5" spans="1:11" x14ac:dyDescent="0.35">
      <c r="A5" s="65" t="s">
        <v>515</v>
      </c>
      <c r="B5" s="65" t="s">
        <v>516</v>
      </c>
      <c r="C5" s="65" t="str">
        <f>+"3 - Medio"</f>
        <v>3 - Medio</v>
      </c>
      <c r="D5" s="65" t="str">
        <f>"+3 Medio - Beneficio del 2% al 5% del valor del contrato"</f>
        <v>+3 Medio - Beneficio del 2% al 5% del valor del contrato</v>
      </c>
      <c r="E5" s="65" t="str">
        <f>"+3 Medio - Mejora entre el 2% y el 5% del plazo de ejecución del contrato"</f>
        <v>+3 Medio - Mejora entre el 2% y el 5% del plazo de ejecución del contrato</v>
      </c>
      <c r="F5" s="65" t="str">
        <f>"+3 Medio - El contrato se cumpliría con mejores métricas de las esperadas frente a los parámetros pactados entre un 5% y un 10%"</f>
        <v>+3 Medio - El contrato se cumpliría con mejores métricas de las esperadas frente a los parámetros pactados entre un 5% y un 10%</v>
      </c>
      <c r="G5" s="65" t="str">
        <f>"MEDIO 
Causa un efecto significativo en el logro de los objetivos estratégicos"</f>
        <v>MEDIO 
Causa un efecto significativo en el logro de los objetivos estratégicos</v>
      </c>
      <c r="H5" s="65" t="s">
        <v>400</v>
      </c>
      <c r="I5" s="66" t="s">
        <v>517</v>
      </c>
      <c r="J5" s="65" t="s">
        <v>518</v>
      </c>
      <c r="K5" s="65">
        <v>-2</v>
      </c>
    </row>
    <row r="6" spans="1:11" x14ac:dyDescent="0.35">
      <c r="A6" s="65" t="s">
        <v>519</v>
      </c>
      <c r="B6" s="65" t="s">
        <v>520</v>
      </c>
      <c r="C6" s="65" t="str">
        <f>+"2 - Bajo"</f>
        <v>2 - Bajo</v>
      </c>
      <c r="D6" s="65" t="str">
        <f>"+2 Bajo - Beneficio del 1% al 2% del valor del contrato"</f>
        <v>+2 Bajo - Beneficio del 1% al 2% del valor del contrato</v>
      </c>
      <c r="E6" s="65" t="str">
        <f>"+2 Bajo - Mejora entre el 1% y el 2% del plazo de ejecución del contrato"</f>
        <v>+2 Bajo - Mejora entre el 1% y el 2% del plazo de ejecución del contrato</v>
      </c>
      <c r="F6" s="65" t="str">
        <f>"+2 Bajo - El contrato se cumpliría con mejores métricas de las esperadas frente a los parámetros pactados entre un 1% y hasta un 5%"</f>
        <v>+2 Bajo - El contrato se cumpliría con mejores métricas de las esperadas frente a los parámetros pactados entre un 1% y hasta un 5%</v>
      </c>
      <c r="G6" s="65" t="str">
        <f>"BAJO 
Causa un efecto apreciable en el logro de los objetivos estratégicos"</f>
        <v>BAJO 
Causa un efecto apreciable en el logro de los objetivos estratégicos</v>
      </c>
      <c r="H6" s="65" t="s">
        <v>364</v>
      </c>
      <c r="I6" s="65" t="s">
        <v>521</v>
      </c>
      <c r="J6" s="65" t="s">
        <v>222</v>
      </c>
      <c r="K6" s="65">
        <v>1</v>
      </c>
    </row>
    <row r="7" spans="1:11" x14ac:dyDescent="0.35">
      <c r="A7" s="65" t="s">
        <v>522</v>
      </c>
      <c r="B7" s="65" t="s">
        <v>523</v>
      </c>
      <c r="C7" s="65" t="str">
        <f>+"1 - Muy bajo"</f>
        <v>1 - Muy bajo</v>
      </c>
      <c r="D7" s="65" t="str">
        <f>"+1 Muy bajo - Beneficio del 0% al 1% del valor del contrato"</f>
        <v>+1 Muy bajo - Beneficio del 0% al 1% del valor del contrato</v>
      </c>
      <c r="E7" s="65" t="str">
        <f>"+1 Muy bajo - Mejora en 1% del plazo de ejecución del contrato"</f>
        <v>+1 Muy bajo - Mejora en 1% del plazo de ejecución del contrato</v>
      </c>
      <c r="F7" s="65" t="str">
        <f>"+1 Muy bajo - El contrato se cumpliría con alguna mejora frente a lo esperado inferior al 1% respecto de la ejecución del contrato"</f>
        <v>+1 Muy bajo - El contrato se cumpliría con alguna mejora frente a lo esperado inferior al 1% respecto de la ejecución del contrato</v>
      </c>
      <c r="G7" s="65" t="str">
        <f>"MUY BAJO 
Causa un efecto insignificante en el logro de los objetivos estratégicos"</f>
        <v>MUY BAJO 
Causa un efecto insignificante en el logro de los objetivos estratégicos</v>
      </c>
      <c r="H7" s="65" t="s">
        <v>364</v>
      </c>
      <c r="I7" s="65" t="s">
        <v>524</v>
      </c>
      <c r="J7" s="65" t="s">
        <v>364</v>
      </c>
      <c r="K7" s="65">
        <v>2</v>
      </c>
    </row>
    <row r="8" spans="1:11" x14ac:dyDescent="0.35">
      <c r="A8" s="65" t="s">
        <v>525</v>
      </c>
      <c r="B8" s="65" t="s">
        <v>526</v>
      </c>
      <c r="C8" s="65"/>
      <c r="D8" s="66" t="str">
        <f>+"0 No aplica"</f>
        <v>0 No aplica</v>
      </c>
      <c r="E8" s="66" t="str">
        <f>+"0 No aplica"</f>
        <v>0 No aplica</v>
      </c>
      <c r="F8" s="66" t="str">
        <f>+"0 No aplica"</f>
        <v>0 No aplica</v>
      </c>
      <c r="G8" s="66" t="str">
        <f>+"0 No aplica"</f>
        <v>0 No aplica</v>
      </c>
      <c r="H8" s="66" t="s">
        <v>364</v>
      </c>
      <c r="I8" s="67" t="s">
        <v>527</v>
      </c>
      <c r="J8" s="65" t="s">
        <v>364</v>
      </c>
      <c r="K8" s="65"/>
    </row>
    <row r="9" spans="1:11" x14ac:dyDescent="0.35">
      <c r="A9" s="65"/>
      <c r="B9" s="65" t="s">
        <v>528</v>
      </c>
      <c r="C9" s="65"/>
      <c r="D9" s="65" t="str">
        <f>"-1 Muy bajo - Afectación adversa del 0% al 1% del valor del contrato"</f>
        <v>-1 Muy bajo - Afectación adversa del 0% al 1% del valor del contrato</v>
      </c>
      <c r="E9" s="65" t="str">
        <f>"-1 Muy bajo - Afecta hasta el 1% del plazo de ejecución del contrato"</f>
        <v>-1 Muy bajo - Afecta hasta el 1% del plazo de ejecución del contrato</v>
      </c>
      <c r="F9" s="65" t="str">
        <f>"-1 Muy bajo - El contrato se cumpliría con alguna dificultad frente a lo esperado inferior al 1% respecto de la ejecución del contrato"</f>
        <v>-1 Muy bajo - El contrato se cumpliría con alguna dificultad frente a lo esperado inferior al 1% respecto de la ejecución del contrato</v>
      </c>
      <c r="G9" s="65" t="str">
        <f>"-1 Muy bajo - Causa un efecto insignificante en el logro de los objetivos estratégicos"</f>
        <v>-1 Muy bajo - Causa un efecto insignificante en el logro de los objetivos estratégicos</v>
      </c>
      <c r="H9" s="65" t="s">
        <v>364</v>
      </c>
      <c r="I9" s="65" t="s">
        <v>529</v>
      </c>
      <c r="J9" s="65" t="s">
        <v>364</v>
      </c>
      <c r="K9" s="65"/>
    </row>
    <row r="10" spans="1:11" x14ac:dyDescent="0.35">
      <c r="A10" s="65"/>
      <c r="B10" s="65" t="s">
        <v>530</v>
      </c>
      <c r="C10" s="65"/>
      <c r="D10" s="65" t="str">
        <f>"-2 Bajo - Afectación adversa del 1% al 2% del valor del contrato"</f>
        <v>-2 Bajo - Afectación adversa del 1% al 2% del valor del contrato</v>
      </c>
      <c r="E10" s="65" t="str">
        <f>"-2 Bajo - Afecta entre el 1% y el 2% del plazo de ejecución del contrato"</f>
        <v>-2 Bajo - Afecta entre el 1% y el 2% del plazo de ejecución del contrato</v>
      </c>
      <c r="F10" s="65" t="str">
        <f>"-2 Bajo - El contrato se cumpliría con un grado de dificultad bajo frente a las métricas y parámetros pactados, entre un 1% y hasta un 5%"</f>
        <v>-2 Bajo - El contrato se cumpliría con un grado de dificultad bajo frente a las métricas y parámetros pactados, entre un 1% y hasta un 5%</v>
      </c>
      <c r="G10" s="65" t="str">
        <f>"-2 Bajo - Causa un efecto apreciable en el logro de los objetivos estratégicos"</f>
        <v>-2 Bajo - Causa un efecto apreciable en el logro de los objetivos estratégicos</v>
      </c>
      <c r="H10" s="65" t="s">
        <v>364</v>
      </c>
      <c r="I10" s="65" t="s">
        <v>531</v>
      </c>
      <c r="J10" s="65" t="s">
        <v>364</v>
      </c>
      <c r="K10" s="65"/>
    </row>
    <row r="11" spans="1:11" x14ac:dyDescent="0.35">
      <c r="A11" s="65"/>
      <c r="B11" s="65" t="s">
        <v>532</v>
      </c>
      <c r="C11" s="64" t="s">
        <v>533</v>
      </c>
      <c r="D11" s="65" t="str">
        <f>"-3 Medio - Afectación adversa del 2% al 5% del valor del contrato"</f>
        <v>-3 Medio - Afectación adversa del 2% al 5% del valor del contrato</v>
      </c>
      <c r="E11" s="65" t="str">
        <f>"-3 Medio - Afecta entre el 2% y el 5% del plazo de ejecución del contrato"</f>
        <v>-3 Medio - Afecta entre el 2% y el 5% del plazo de ejecución del contrato</v>
      </c>
      <c r="F11" s="65" t="str">
        <f>"-3 Medio - El contrato se cumpliría con afectación moderada en cuanto a las métricas y parámetros pactados entre un 5% y hasta un 10%"</f>
        <v>-3 Medio - El contrato se cumpliría con afectación moderada en cuanto a las métricas y parámetros pactados entre un 5% y hasta un 10%</v>
      </c>
      <c r="G11" s="65" t="str">
        <f>"-3 Medio - Causa un efecto significativo en el logro de los objetivos estratégicos"</f>
        <v>-3 Medio - Causa un efecto significativo en el logro de los objetivos estratégicos</v>
      </c>
      <c r="H11" s="65" t="s">
        <v>364</v>
      </c>
      <c r="I11" s="65" t="s">
        <v>534</v>
      </c>
      <c r="J11" s="65" t="s">
        <v>364</v>
      </c>
      <c r="K11" s="65"/>
    </row>
    <row r="12" spans="1:11" x14ac:dyDescent="0.35">
      <c r="A12" s="65"/>
      <c r="B12" s="65" t="s">
        <v>535</v>
      </c>
      <c r="C12" s="64" t="s">
        <v>536</v>
      </c>
      <c r="D12" s="65" t="str">
        <f>"-4 Alto - Afectación adversa del 5% al 10% del valor del contrato"</f>
        <v>-4 Alto - Afectación adversa del 5% al 10% del valor del contrato</v>
      </c>
      <c r="E12" s="65" t="str">
        <f>"-4 Alto - Afecta entre el 5% y el 10% del plazo de ejecución del contrato"</f>
        <v>-4 Alto - Afecta entre el 5% y el 10% del plazo de ejecución del contrato</v>
      </c>
      <c r="F12" s="65" t="str">
        <f>"-4 Alto - El contrato se cumpliría con impacto grave y significativo en las métricas esperadas frente a los parámetros pactados entre un 10% y un 15%"</f>
        <v>-4 Alto - El contrato se cumpliría con impacto grave y significativo en las métricas esperadas frente a los parámetros pactados entre un 10% y un 15%</v>
      </c>
      <c r="G12" s="65" t="str">
        <f>"-4 Alto - Causa un efecto grave en el logro de los objetivos estratégicos"</f>
        <v>-4 Alto - Causa un efecto grave en el logro de los objetivos estratégicos</v>
      </c>
      <c r="H12" s="65" t="s">
        <v>364</v>
      </c>
      <c r="I12" s="65" t="s">
        <v>537</v>
      </c>
      <c r="J12" s="65"/>
      <c r="K12" s="65"/>
    </row>
    <row r="13" spans="1:11" x14ac:dyDescent="0.35">
      <c r="A13" s="65"/>
      <c r="B13" s="65" t="s">
        <v>538</v>
      </c>
      <c r="C13" s="65" t="s">
        <v>539</v>
      </c>
      <c r="D13" s="65" t="str">
        <f>"-5 Muy alto - Afectación adversa Mayor al 10% del valor del contrato"</f>
        <v>-5 Muy alto - Afectación adversa Mayor al 10% del valor del contrato</v>
      </c>
      <c r="E13" s="65" t="str">
        <f>"-5 Muy alto - Afecta superior al 10% del plazo de ejecución del contrato"</f>
        <v>-5 Muy alto - Afecta superior al 10% del plazo de ejecución del contrato</v>
      </c>
      <c r="F13" s="65" t="str">
        <f>"-5 Muy alto - Perturba la ejecución del contrato de manera grave imposibilitando la consecución del objeto contractual impacto negativo en las métricas esperadas frente a los parámetros pactados superiores al 15%"</f>
        <v>-5 Muy alto - Perturba la ejecución del contrato de manera grave imposibilitando la consecución del objeto contractual impacto negativo en las métricas esperadas frente a los parámetros pactados superiores al 15%</v>
      </c>
      <c r="G13" s="65" t="str">
        <f>"-5 Muy Alto - Causa un impedimento en el logro de los objetivos estratégicos"</f>
        <v>-5 Muy Alto - Causa un impedimento en el logro de los objetivos estratégicos</v>
      </c>
      <c r="H13" s="65" t="s">
        <v>364</v>
      </c>
      <c r="I13" s="68" t="s">
        <v>540</v>
      </c>
      <c r="J13" s="65"/>
      <c r="K13" s="65"/>
    </row>
    <row r="14" spans="1:11" x14ac:dyDescent="0.35">
      <c r="A14" s="65"/>
      <c r="B14" s="65" t="s">
        <v>541</v>
      </c>
      <c r="C14" s="65" t="s">
        <v>542</v>
      </c>
      <c r="D14" s="65" t="str">
        <f>"-1 Muy bajo - Desviación del 1% en el CAPEX"</f>
        <v>-1 Muy bajo - Desviación del 1% en el CAPEX</v>
      </c>
      <c r="E14" s="65" t="s">
        <v>364</v>
      </c>
      <c r="F14" s="65" t="s">
        <v>364</v>
      </c>
      <c r="G14" s="65"/>
      <c r="H14" s="65"/>
      <c r="I14" s="65" t="s">
        <v>517</v>
      </c>
      <c r="J14" s="65"/>
      <c r="K14" s="65"/>
    </row>
    <row r="15" spans="1:11" x14ac:dyDescent="0.35">
      <c r="A15" s="65"/>
      <c r="B15" s="65"/>
      <c r="C15" s="65" t="s">
        <v>543</v>
      </c>
      <c r="D15" s="65" t="str">
        <f>"-2 Bajo - Desviación del 1% al 2% en el CAPEX"</f>
        <v>-2 Bajo - Desviación del 1% al 2% en el CAPEX</v>
      </c>
      <c r="E15" s="65" t="s">
        <v>364</v>
      </c>
      <c r="F15" s="65" t="s">
        <v>364</v>
      </c>
      <c r="G15" s="65"/>
      <c r="H15" s="65"/>
      <c r="I15" s="65" t="s">
        <v>544</v>
      </c>
      <c r="J15" s="65"/>
      <c r="K15" s="65"/>
    </row>
    <row r="16" spans="1:11" x14ac:dyDescent="0.35">
      <c r="A16" s="65"/>
      <c r="B16" s="65"/>
      <c r="C16" s="65"/>
      <c r="D16" s="65" t="str">
        <f>"-3 Medio - Sobrecosto del 2% al 5% en el CAPEX"</f>
        <v>-3 Medio - Sobrecosto del 2% al 5% en el CAPEX</v>
      </c>
      <c r="E16" s="65" t="s">
        <v>364</v>
      </c>
      <c r="F16" s="65" t="s">
        <v>364</v>
      </c>
      <c r="G16" s="65"/>
      <c r="H16" s="65"/>
      <c r="I16" s="65"/>
      <c r="J16" s="65"/>
      <c r="K16" s="65"/>
    </row>
    <row r="17" spans="1:11" x14ac:dyDescent="0.35">
      <c r="A17" s="65"/>
      <c r="B17" s="65"/>
      <c r="C17" s="65"/>
      <c r="D17" s="65" t="str">
        <f>"-4 Alto - Sobrecosto del 5% al 10% en el CAPEX"</f>
        <v>-4 Alto - Sobrecosto del 5% al 10% en el CAPEX</v>
      </c>
      <c r="E17" s="65" t="s">
        <v>364</v>
      </c>
      <c r="F17" s="65" t="s">
        <v>364</v>
      </c>
      <c r="G17" s="65"/>
      <c r="H17" s="65"/>
      <c r="I17" s="65"/>
      <c r="J17" s="65"/>
      <c r="K17" s="65"/>
    </row>
    <row r="18" spans="1:11" x14ac:dyDescent="0.35">
      <c r="A18" s="65"/>
      <c r="B18" s="65"/>
      <c r="C18" s="65"/>
      <c r="D18" s="65" t="str">
        <f>"-5 Muy alto - Sobrecosto mayor del 10% en el CAPEX o afectación del OPEX no prevista"</f>
        <v>-5 Muy alto - Sobrecosto mayor del 10% en el CAPEX o afectación del OPEX no prevista</v>
      </c>
      <c r="E18" s="65" t="s">
        <v>364</v>
      </c>
      <c r="F18" s="65" t="s">
        <v>364</v>
      </c>
      <c r="G18" s="65"/>
      <c r="H18" s="65"/>
      <c r="I18" s="65"/>
      <c r="J18" s="65"/>
      <c r="K18" s="65"/>
    </row>
    <row r="19" spans="1:11" x14ac:dyDescent="0.35">
      <c r="A19" s="65"/>
      <c r="B19" s="65"/>
      <c r="C19" s="69"/>
      <c r="D19" s="65"/>
      <c r="E19" s="69"/>
      <c r="F19" s="69"/>
      <c r="G19" s="69"/>
      <c r="H19" s="69"/>
      <c r="I19" s="65"/>
      <c r="J19" s="65"/>
      <c r="K19" s="65"/>
    </row>
    <row r="20" spans="1:11" ht="11.25" customHeight="1" x14ac:dyDescent="0.35">
      <c r="B20" s="1">
        <v>25</v>
      </c>
      <c r="C20" s="70" t="s">
        <v>545</v>
      </c>
      <c r="E20" s="71" t="s">
        <v>546</v>
      </c>
      <c r="F20" s="71" t="s">
        <v>60</v>
      </c>
      <c r="G20" s="474" t="s">
        <v>547</v>
      </c>
      <c r="H20" s="474"/>
    </row>
    <row r="21" spans="1:11" ht="11.25" customHeight="1" x14ac:dyDescent="0.35">
      <c r="B21" s="1">
        <v>24</v>
      </c>
      <c r="C21" s="70" t="s">
        <v>545</v>
      </c>
      <c r="E21" s="64" t="s">
        <v>533</v>
      </c>
      <c r="F21" s="72" t="str">
        <f>"MUY BAJO 
Causa un efecto insignificante en el logro de los objetivos estratégicos"</f>
        <v>MUY BAJO 
Causa un efecto insignificante en el logro de los objetivos estratégicos</v>
      </c>
      <c r="G21" s="73" t="str">
        <f>E21&amp;F21</f>
        <v>MUY ALTO
El contrato logrará el objetivo en la mayoría de los casos.MUY BAJO 
Causa un efecto insignificante en el logro de los objetivos estratégicos</v>
      </c>
      <c r="H21" s="74" t="s">
        <v>548</v>
      </c>
    </row>
    <row r="22" spans="1:11" ht="11.25" customHeight="1" x14ac:dyDescent="0.35">
      <c r="B22" s="1">
        <v>23</v>
      </c>
      <c r="C22" s="70" t="s">
        <v>545</v>
      </c>
      <c r="E22" s="64" t="s">
        <v>533</v>
      </c>
      <c r="F22" s="72" t="str">
        <f>"BAJO 
Causa un efecto apreciable en el logro de los objetivos estratégicos"</f>
        <v>BAJO 
Causa un efecto apreciable en el logro de los objetivos estratégicos</v>
      </c>
      <c r="G22" s="73" t="str">
        <f t="shared" ref="G22:G45" si="0">E22&amp;F22</f>
        <v>MUY ALTO
El contrato logrará el objetivo en la mayoría de los casos.BAJO 
Causa un efecto apreciable en el logro de los objetivos estratégicos</v>
      </c>
      <c r="H22" s="74" t="s">
        <v>548</v>
      </c>
    </row>
    <row r="23" spans="1:11" ht="11.25" customHeight="1" x14ac:dyDescent="0.35">
      <c r="B23" s="1">
        <v>22</v>
      </c>
      <c r="C23" s="70" t="s">
        <v>545</v>
      </c>
      <c r="E23" s="64" t="s">
        <v>533</v>
      </c>
      <c r="F23" s="72" t="str">
        <f>"MEDIO 
Causa un efecto significativo en el logro de los objetivos estratégicos"</f>
        <v>MEDIO 
Causa un efecto significativo en el logro de los objetivos estratégicos</v>
      </c>
      <c r="G23" s="73" t="str">
        <f t="shared" si="0"/>
        <v>MUY ALTO
El contrato logrará el objetivo en la mayoría de los casos.MEDIO 
Causa un efecto significativo en el logro de los objetivos estratégicos</v>
      </c>
      <c r="H23" s="75" t="s">
        <v>549</v>
      </c>
    </row>
    <row r="24" spans="1:11" ht="11.25" customHeight="1" x14ac:dyDescent="0.35">
      <c r="B24" s="1">
        <v>21</v>
      </c>
      <c r="C24" s="70" t="s">
        <v>545</v>
      </c>
      <c r="E24" s="64" t="s">
        <v>533</v>
      </c>
      <c r="F24" s="72" t="str">
        <f>"ALTO 
Causa un efecto importante en el logro de los objetivos estratégicos"</f>
        <v>ALTO 
Causa un efecto importante en el logro de los objetivos estratégicos</v>
      </c>
      <c r="G24" s="73" t="str">
        <f t="shared" si="0"/>
        <v>MUY ALTO
El contrato logrará el objetivo en la mayoría de los casos.ALTO 
Causa un efecto importante en el logro de los objetivos estratégicos</v>
      </c>
      <c r="H24" s="70" t="s">
        <v>545</v>
      </c>
    </row>
    <row r="25" spans="1:11" ht="11.25" customHeight="1" x14ac:dyDescent="0.35">
      <c r="B25" s="1">
        <v>20</v>
      </c>
      <c r="C25" s="70" t="s">
        <v>545</v>
      </c>
      <c r="E25" s="64" t="s">
        <v>533</v>
      </c>
      <c r="F25" s="72" t="str">
        <f>"MUY ALTO 
Causa un efecto trascendental en el  logro de los objetivos estratégicos"</f>
        <v>MUY ALTO 
Causa un efecto trascendental en el  logro de los objetivos estratégicos</v>
      </c>
      <c r="G25" s="73" t="str">
        <f t="shared" si="0"/>
        <v>MUY ALTO
El contrato logrará el objetivo en la mayoría de los casos.MUY ALTO 
Causa un efecto trascendental en el  logro de los objetivos estratégicos</v>
      </c>
      <c r="H25" s="70" t="s">
        <v>545</v>
      </c>
    </row>
    <row r="26" spans="1:11" ht="11.25" customHeight="1" x14ac:dyDescent="0.35">
      <c r="B26" s="1">
        <v>19</v>
      </c>
      <c r="C26" s="70" t="s">
        <v>545</v>
      </c>
      <c r="E26" s="64" t="s">
        <v>536</v>
      </c>
      <c r="F26" s="72" t="str">
        <f>"MUY BAJO 
Causa un efecto insignificante en el logro de los objetivos estratégicos"</f>
        <v>MUY BAJO 
Causa un efecto insignificante en el logro de los objetivos estratégicos</v>
      </c>
      <c r="G26" s="73" t="str">
        <f t="shared" si="0"/>
        <v>ALTO
Se logrará el objetivo en 6 de cada 10 contratos aproximadamente.MUY BAJO 
Causa un efecto insignificante en el logro de los objetivos estratégicos</v>
      </c>
      <c r="H26" s="74" t="s">
        <v>548</v>
      </c>
    </row>
    <row r="27" spans="1:11" ht="11.25" customHeight="1" x14ac:dyDescent="0.35">
      <c r="B27" s="1">
        <v>18</v>
      </c>
      <c r="C27" s="70" t="s">
        <v>545</v>
      </c>
      <c r="E27" s="64" t="s">
        <v>536</v>
      </c>
      <c r="F27" s="72" t="str">
        <f>"BAJO 
Causa un efecto apreciable en el logro de los objetivos estratégicos"</f>
        <v>BAJO 
Causa un efecto apreciable en el logro de los objetivos estratégicos</v>
      </c>
      <c r="G27" s="73" t="str">
        <f t="shared" si="0"/>
        <v>ALTO
Se logrará el objetivo en 6 de cada 10 contratos aproximadamente.BAJO 
Causa un efecto apreciable en el logro de los objetivos estratégicos</v>
      </c>
      <c r="H27" s="74" t="s">
        <v>548</v>
      </c>
    </row>
    <row r="28" spans="1:11" ht="11.25" customHeight="1" x14ac:dyDescent="0.35">
      <c r="B28" s="1">
        <v>17</v>
      </c>
      <c r="C28" s="70" t="s">
        <v>545</v>
      </c>
      <c r="E28" s="64" t="s">
        <v>536</v>
      </c>
      <c r="F28" s="72" t="str">
        <f>"MEDIO 
Causa un efecto significativo en el logro de los objetivos estratégicos"</f>
        <v>MEDIO 
Causa un efecto significativo en el logro de los objetivos estratégicos</v>
      </c>
      <c r="G28" s="73" t="str">
        <f t="shared" si="0"/>
        <v>ALTO
Se logrará el objetivo en 6 de cada 10 contratos aproximadamente.MEDIO 
Causa un efecto significativo en el logro de los objetivos estratégicos</v>
      </c>
      <c r="H28" s="75" t="s">
        <v>549</v>
      </c>
    </row>
    <row r="29" spans="1:11" ht="11.25" customHeight="1" x14ac:dyDescent="0.35">
      <c r="B29" s="1">
        <v>16</v>
      </c>
      <c r="C29" s="75" t="s">
        <v>549</v>
      </c>
      <c r="E29" s="64" t="s">
        <v>536</v>
      </c>
      <c r="F29" s="72" t="str">
        <f>"ALTO 
Causa un efecto importante en el logro de los objetivos estratégicos"</f>
        <v>ALTO 
Causa un efecto importante en el logro de los objetivos estratégicos</v>
      </c>
      <c r="G29" s="73" t="str">
        <f t="shared" si="0"/>
        <v>ALTO
Se logrará el objetivo en 6 de cada 10 contratos aproximadamente.ALTO 
Causa un efecto importante en el logro de los objetivos estratégicos</v>
      </c>
      <c r="H29" s="75" t="s">
        <v>549</v>
      </c>
    </row>
    <row r="30" spans="1:11" ht="11.25" customHeight="1" x14ac:dyDescent="0.35">
      <c r="B30" s="1">
        <v>15</v>
      </c>
      <c r="C30" s="75" t="s">
        <v>549</v>
      </c>
      <c r="E30" s="64" t="s">
        <v>536</v>
      </c>
      <c r="F30" s="72" t="str">
        <f>"MUY ALTO 
Causa un efecto trascendental en el  logro de los objetivos estratégicos"</f>
        <v>MUY ALTO 
Causa un efecto trascendental en el  logro de los objetivos estratégicos</v>
      </c>
      <c r="G30" s="73" t="str">
        <f t="shared" si="0"/>
        <v>ALTO
Se logrará el objetivo en 6 de cada 10 contratos aproximadamente.MUY ALTO 
Causa un efecto trascendental en el  logro de los objetivos estratégicos</v>
      </c>
      <c r="H30" s="70" t="s">
        <v>545</v>
      </c>
    </row>
    <row r="31" spans="1:11" ht="11.25" customHeight="1" x14ac:dyDescent="0.35">
      <c r="B31" s="1">
        <v>14</v>
      </c>
      <c r="C31" s="75" t="s">
        <v>549</v>
      </c>
      <c r="E31" s="65" t="s">
        <v>539</v>
      </c>
      <c r="F31" s="72" t="str">
        <f>"MUY BAJO 
Causa un efecto insignificante en el logro de los objetivos estratégicos"</f>
        <v>MUY BAJO 
Causa un efecto insignificante en el logro de los objetivos estratégicos</v>
      </c>
      <c r="G31" s="73" t="str">
        <f t="shared" si="0"/>
        <v>MEDIO
Se logrará el objetivo en 4 de cada 10 contratos aproximadamente.MUY BAJO 
Causa un efecto insignificante en el logro de los objetivos estratégicos</v>
      </c>
      <c r="H31" s="76" t="s">
        <v>550</v>
      </c>
    </row>
    <row r="32" spans="1:11" ht="11.25" customHeight="1" x14ac:dyDescent="0.35">
      <c r="B32" s="1">
        <v>13</v>
      </c>
      <c r="C32" s="75" t="s">
        <v>549</v>
      </c>
      <c r="E32" s="65" t="s">
        <v>539</v>
      </c>
      <c r="F32" s="72" t="str">
        <f>"BAJO 
Causa un efecto apreciable en el logro de los objetivos estratégicos"</f>
        <v>BAJO 
Causa un efecto apreciable en el logro de los objetivos estratégicos</v>
      </c>
      <c r="G32" s="73" t="str">
        <f t="shared" si="0"/>
        <v>MEDIO
Se logrará el objetivo en 4 de cada 10 contratos aproximadamente.BAJO 
Causa un efecto apreciable en el logro de los objetivos estratégicos</v>
      </c>
      <c r="H32" s="74" t="s">
        <v>548</v>
      </c>
    </row>
    <row r="33" spans="2:8" ht="11.25" customHeight="1" x14ac:dyDescent="0.35">
      <c r="B33" s="1">
        <v>12</v>
      </c>
      <c r="C33" s="75" t="s">
        <v>549</v>
      </c>
      <c r="E33" s="65" t="s">
        <v>539</v>
      </c>
      <c r="F33" s="72" t="str">
        <f>"MEDIO 
Causa un efecto significativo en el logro de los objetivos estratégicos"</f>
        <v>MEDIO 
Causa un efecto significativo en el logro de los objetivos estratégicos</v>
      </c>
      <c r="G33" s="73" t="str">
        <f t="shared" si="0"/>
        <v>MEDIO
Se logrará el objetivo en 4 de cada 10 contratos aproximadamente.MEDIO 
Causa un efecto significativo en el logro de los objetivos estratégicos</v>
      </c>
      <c r="H33" s="74" t="s">
        <v>548</v>
      </c>
    </row>
    <row r="34" spans="2:8" ht="11.25" customHeight="1" x14ac:dyDescent="0.35">
      <c r="B34" s="1">
        <v>11</v>
      </c>
      <c r="C34" s="75" t="s">
        <v>549</v>
      </c>
      <c r="E34" s="65" t="s">
        <v>539</v>
      </c>
      <c r="F34" s="72" t="str">
        <f>"ALTO 
Causa un efecto importante en el logro de los objetivos estratégicos"</f>
        <v>ALTO 
Causa un efecto importante en el logro de los objetivos estratégicos</v>
      </c>
      <c r="G34" s="73" t="str">
        <f t="shared" si="0"/>
        <v>MEDIO
Se logrará el objetivo en 4 de cada 10 contratos aproximadamente.ALTO 
Causa un efecto importante en el logro de los objetivos estratégicos</v>
      </c>
      <c r="H34" s="75" t="s">
        <v>549</v>
      </c>
    </row>
    <row r="35" spans="2:8" ht="11.25" customHeight="1" x14ac:dyDescent="0.35">
      <c r="B35" s="1">
        <v>10</v>
      </c>
      <c r="C35" s="74" t="s">
        <v>548</v>
      </c>
      <c r="E35" s="65" t="s">
        <v>539</v>
      </c>
      <c r="F35" s="72" t="str">
        <f>"MUY ALTO 
Causa un efecto trascendental en el  logro de los objetivos estratégicos"</f>
        <v>MUY ALTO 
Causa un efecto trascendental en el  logro de los objetivos estratégicos</v>
      </c>
      <c r="G35" s="73" t="str">
        <f t="shared" si="0"/>
        <v>MEDIO
Se logrará el objetivo en 4 de cada 10 contratos aproximadamente.MUY ALTO 
Causa un efecto trascendental en el  logro de los objetivos estratégicos</v>
      </c>
      <c r="H35" s="75" t="s">
        <v>549</v>
      </c>
    </row>
    <row r="36" spans="2:8" ht="11.25" customHeight="1" x14ac:dyDescent="0.35">
      <c r="B36" s="1">
        <v>9</v>
      </c>
      <c r="C36" s="74" t="s">
        <v>548</v>
      </c>
      <c r="E36" s="65" t="s">
        <v>542</v>
      </c>
      <c r="F36" s="72" t="str">
        <f>"MUY BAJO 
Causa un efecto insignificante en el logro de los objetivos estratégicos"</f>
        <v>MUY BAJO 
Causa un efecto insignificante en el logro de los objetivos estratégicos</v>
      </c>
      <c r="G36" s="73" t="str">
        <f t="shared" si="0"/>
        <v>BAJO
Se logrará el objetivo en 2 de cada 10 contratos aproximadamente.MUY BAJO 
Causa un efecto insignificante en el logro de los objetivos estratégicos</v>
      </c>
      <c r="H36" s="76" t="s">
        <v>550</v>
      </c>
    </row>
    <row r="37" spans="2:8" ht="11.25" customHeight="1" x14ac:dyDescent="0.35">
      <c r="B37" s="1">
        <v>8</v>
      </c>
      <c r="C37" s="74" t="s">
        <v>548</v>
      </c>
      <c r="E37" s="65" t="s">
        <v>542</v>
      </c>
      <c r="F37" s="72" t="str">
        <f>"BAJO 
Causa un efecto apreciable en el logro de los objetivos estratégicos"</f>
        <v>BAJO 
Causa un efecto apreciable en el logro de los objetivos estratégicos</v>
      </c>
      <c r="G37" s="73" t="str">
        <f t="shared" si="0"/>
        <v>BAJO
Se logrará el objetivo en 2 de cada 10 contratos aproximadamente.BAJO 
Causa un efecto apreciable en el logro de los objetivos estratégicos</v>
      </c>
      <c r="H37" s="76" t="s">
        <v>550</v>
      </c>
    </row>
    <row r="38" spans="2:8" ht="11.25" customHeight="1" x14ac:dyDescent="0.35">
      <c r="B38" s="1">
        <v>7</v>
      </c>
      <c r="C38" s="74" t="s">
        <v>548</v>
      </c>
      <c r="E38" s="65" t="s">
        <v>542</v>
      </c>
      <c r="F38" s="72" t="str">
        <f>"MEDIO 
Causa un efecto significativo en el logro de los objetivos estratégicos"</f>
        <v>MEDIO 
Causa un efecto significativo en el logro de los objetivos estratégicos</v>
      </c>
      <c r="G38" s="73" t="str">
        <f t="shared" si="0"/>
        <v>BAJO
Se logrará el objetivo en 2 de cada 10 contratos aproximadamente.MEDIO 
Causa un efecto significativo en el logro de los objetivos estratégicos</v>
      </c>
      <c r="H38" s="74" t="s">
        <v>548</v>
      </c>
    </row>
    <row r="39" spans="2:8" ht="11.25" customHeight="1" x14ac:dyDescent="0.35">
      <c r="B39" s="1">
        <v>6</v>
      </c>
      <c r="C39" s="74" t="s">
        <v>548</v>
      </c>
      <c r="E39" s="65" t="s">
        <v>542</v>
      </c>
      <c r="F39" s="72" t="str">
        <f>"ALTO 
Causa un efecto importante en el logro de los objetivos estratégicos"</f>
        <v>ALTO 
Causa un efecto importante en el logro de los objetivos estratégicos</v>
      </c>
      <c r="G39" s="73" t="str">
        <f t="shared" si="0"/>
        <v>BAJO
Se logrará el objetivo en 2 de cada 10 contratos aproximadamente.ALTO 
Causa un efecto importante en el logro de los objetivos estratégicos</v>
      </c>
      <c r="H39" s="74" t="s">
        <v>548</v>
      </c>
    </row>
    <row r="40" spans="2:8" ht="11.25" customHeight="1" x14ac:dyDescent="0.35">
      <c r="B40" s="1">
        <v>5</v>
      </c>
      <c r="C40" s="74" t="s">
        <v>548</v>
      </c>
      <c r="E40" s="65" t="s">
        <v>542</v>
      </c>
      <c r="F40" s="72" t="str">
        <f>"MUY ALTO 
Causa un efecto trascendental en el  logro de los objetivos estratégicos"</f>
        <v>MUY ALTO 
Causa un efecto trascendental en el  logro de los objetivos estratégicos</v>
      </c>
      <c r="G40" s="73" t="str">
        <f t="shared" si="0"/>
        <v>BAJO
Se logrará el objetivo en 2 de cada 10 contratos aproximadamente.MUY ALTO 
Causa un efecto trascendental en el  logro de los objetivos estratégicos</v>
      </c>
      <c r="H40" s="74" t="s">
        <v>548</v>
      </c>
    </row>
    <row r="41" spans="2:8" ht="11.25" customHeight="1" x14ac:dyDescent="0.35">
      <c r="B41" s="1">
        <v>4</v>
      </c>
      <c r="C41" s="76" t="s">
        <v>550</v>
      </c>
      <c r="E41" s="65" t="s">
        <v>543</v>
      </c>
      <c r="F41" s="77" t="str">
        <f>"MUY BAJO 
Causa un efecto insignificante en el logro de los objetivos estratégicos"</f>
        <v>MUY BAJO 
Causa un efecto insignificante en el logro de los objetivos estratégicos</v>
      </c>
      <c r="G41" s="73" t="str">
        <f t="shared" si="0"/>
        <v>MUY BAJO
No se logrará el objetivo en la mayoría de los contratosMUY BAJO 
Causa un efecto insignificante en el logro de los objetivos estratégicos</v>
      </c>
      <c r="H41" s="76" t="s">
        <v>550</v>
      </c>
    </row>
    <row r="42" spans="2:8" ht="11.25" customHeight="1" x14ac:dyDescent="0.35">
      <c r="B42" s="1">
        <v>3</v>
      </c>
      <c r="C42" s="76" t="s">
        <v>550</v>
      </c>
      <c r="E42" s="65" t="s">
        <v>543</v>
      </c>
      <c r="F42" s="77" t="str">
        <f>"BAJO 
Causa un efecto apreciable en el logro de los objetivos estratégicos"</f>
        <v>BAJO 
Causa un efecto apreciable en el logro de los objetivos estratégicos</v>
      </c>
      <c r="G42" s="73" t="str">
        <f t="shared" si="0"/>
        <v>MUY BAJO
No se logrará el objetivo en la mayoría de los contratosBAJO 
Causa un efecto apreciable en el logro de los objetivos estratégicos</v>
      </c>
      <c r="H42" s="76" t="s">
        <v>550</v>
      </c>
    </row>
    <row r="43" spans="2:8" ht="11.25" customHeight="1" x14ac:dyDescent="0.35">
      <c r="B43" s="1">
        <v>2</v>
      </c>
      <c r="C43" s="76" t="s">
        <v>550</v>
      </c>
      <c r="E43" s="65" t="s">
        <v>543</v>
      </c>
      <c r="F43" s="77" t="str">
        <f>"MEDIO 
Causa un efecto significativo en el logro de los objetivos estratégicos"</f>
        <v>MEDIO 
Causa un efecto significativo en el logro de los objetivos estratégicos</v>
      </c>
      <c r="G43" s="73" t="str">
        <f t="shared" si="0"/>
        <v>MUY BAJO
No se logrará el objetivo en la mayoría de los contratosMEDIO 
Causa un efecto significativo en el logro de los objetivos estratégicos</v>
      </c>
      <c r="H43" s="76" t="s">
        <v>550</v>
      </c>
    </row>
    <row r="44" spans="2:8" ht="11.25" customHeight="1" x14ac:dyDescent="0.35">
      <c r="B44" s="1">
        <v>1</v>
      </c>
      <c r="C44" s="76" t="s">
        <v>550</v>
      </c>
      <c r="E44" s="65" t="s">
        <v>543</v>
      </c>
      <c r="F44" s="77" t="str">
        <f>"ALTO 
Causa un efecto importante en el logro de los objetivos estratégicos"</f>
        <v>ALTO 
Causa un efecto importante en el logro de los objetivos estratégicos</v>
      </c>
      <c r="G44" s="73" t="str">
        <f t="shared" si="0"/>
        <v>MUY BAJO
No se logrará el objetivo en la mayoría de los contratosALTO 
Causa un efecto importante en el logro de los objetivos estratégicos</v>
      </c>
      <c r="H44" s="76" t="s">
        <v>550</v>
      </c>
    </row>
    <row r="45" spans="2:8" ht="11.25" customHeight="1" x14ac:dyDescent="0.35">
      <c r="B45" s="1">
        <v>0</v>
      </c>
      <c r="C45" s="78" t="s">
        <v>551</v>
      </c>
      <c r="E45" s="65" t="s">
        <v>543</v>
      </c>
      <c r="F45" s="77" t="str">
        <f>"MUY ALTO 
Causa un efecto trascendental en el  logro de los objetivos estratégicos"</f>
        <v>MUY ALTO 
Causa un efecto trascendental en el  logro de los objetivos estratégicos</v>
      </c>
      <c r="G45" s="73" t="str">
        <f t="shared" si="0"/>
        <v>MUY BAJO
No se logrará el objetivo en la mayoría de los contratosMUY ALTO 
Causa un efecto trascendental en el  logro de los objetivos estratégicos</v>
      </c>
      <c r="H45" s="74" t="s">
        <v>548</v>
      </c>
    </row>
    <row r="46" spans="2:8" x14ac:dyDescent="0.35">
      <c r="B46" s="1">
        <v>-1</v>
      </c>
      <c r="C46" s="79" t="s">
        <v>552</v>
      </c>
      <c r="E46" s="72"/>
      <c r="F46" s="72"/>
      <c r="G46" s="72"/>
      <c r="H46" s="80" t="s">
        <v>551</v>
      </c>
    </row>
    <row r="47" spans="2:8" x14ac:dyDescent="0.35">
      <c r="B47" s="1">
        <v>-2</v>
      </c>
      <c r="C47" s="79" t="s">
        <v>552</v>
      </c>
    </row>
    <row r="48" spans="2:8" x14ac:dyDescent="0.35">
      <c r="B48" s="1">
        <v>-3</v>
      </c>
      <c r="C48" s="79" t="s">
        <v>552</v>
      </c>
    </row>
    <row r="49" spans="2:5" x14ac:dyDescent="0.35">
      <c r="B49" s="1">
        <v>-4</v>
      </c>
      <c r="C49" s="79" t="s">
        <v>552</v>
      </c>
    </row>
    <row r="50" spans="2:5" x14ac:dyDescent="0.35">
      <c r="B50" s="1">
        <v>-5</v>
      </c>
      <c r="C50" s="79" t="s">
        <v>552</v>
      </c>
    </row>
    <row r="51" spans="2:5" x14ac:dyDescent="0.35">
      <c r="B51" s="1">
        <v>-6</v>
      </c>
      <c r="C51" s="81" t="s">
        <v>553</v>
      </c>
    </row>
    <row r="52" spans="2:5" x14ac:dyDescent="0.35">
      <c r="B52" s="1">
        <v>-7</v>
      </c>
      <c r="C52" s="81" t="s">
        <v>553</v>
      </c>
    </row>
    <row r="53" spans="2:5" x14ac:dyDescent="0.35">
      <c r="B53" s="1">
        <v>-8</v>
      </c>
      <c r="C53" s="81" t="s">
        <v>553</v>
      </c>
    </row>
    <row r="54" spans="2:5" x14ac:dyDescent="0.35">
      <c r="B54" s="1">
        <v>-9</v>
      </c>
      <c r="C54" s="81" t="s">
        <v>553</v>
      </c>
    </row>
    <row r="55" spans="2:5" x14ac:dyDescent="0.35">
      <c r="B55" s="1">
        <v>-10</v>
      </c>
      <c r="C55" s="81" t="s">
        <v>553</v>
      </c>
    </row>
    <row r="56" spans="2:5" x14ac:dyDescent="0.35">
      <c r="B56" s="1">
        <v>-11</v>
      </c>
      <c r="C56" s="82" t="s">
        <v>554</v>
      </c>
    </row>
    <row r="57" spans="2:5" x14ac:dyDescent="0.35">
      <c r="B57" s="1">
        <v>-12</v>
      </c>
      <c r="C57" s="82" t="s">
        <v>554</v>
      </c>
    </row>
    <row r="58" spans="2:5" x14ac:dyDescent="0.35">
      <c r="B58" s="1">
        <v>-13</v>
      </c>
      <c r="C58" s="82" t="s">
        <v>554</v>
      </c>
    </row>
    <row r="59" spans="2:5" x14ac:dyDescent="0.35">
      <c r="B59" s="1">
        <v>-14</v>
      </c>
      <c r="C59" s="82" t="s">
        <v>554</v>
      </c>
    </row>
    <row r="60" spans="2:5" x14ac:dyDescent="0.35">
      <c r="B60" s="1">
        <v>-15</v>
      </c>
      <c r="C60" s="82" t="s">
        <v>554</v>
      </c>
    </row>
    <row r="61" spans="2:5" x14ac:dyDescent="0.35">
      <c r="B61" s="1">
        <v>-16</v>
      </c>
      <c r="C61" s="82" t="s">
        <v>554</v>
      </c>
    </row>
    <row r="62" spans="2:5" x14ac:dyDescent="0.35">
      <c r="B62" s="1">
        <v>-17</v>
      </c>
      <c r="C62" s="83" t="s">
        <v>555</v>
      </c>
      <c r="E62" s="84"/>
    </row>
    <row r="63" spans="2:5" x14ac:dyDescent="0.35">
      <c r="B63" s="1">
        <v>-18</v>
      </c>
      <c r="C63" s="83" t="s">
        <v>555</v>
      </c>
      <c r="E63" s="84"/>
    </row>
    <row r="64" spans="2:5" x14ac:dyDescent="0.35">
      <c r="B64" s="1">
        <v>-19</v>
      </c>
      <c r="C64" s="83" t="s">
        <v>555</v>
      </c>
      <c r="E64" s="84"/>
    </row>
    <row r="65" spans="2:5" x14ac:dyDescent="0.35">
      <c r="B65" s="1">
        <v>-20</v>
      </c>
      <c r="C65" s="83" t="s">
        <v>555</v>
      </c>
      <c r="E65" s="84"/>
    </row>
    <row r="66" spans="2:5" x14ac:dyDescent="0.35">
      <c r="B66" s="1">
        <v>-21</v>
      </c>
      <c r="C66" s="83" t="s">
        <v>555</v>
      </c>
      <c r="E66" s="84"/>
    </row>
    <row r="67" spans="2:5" x14ac:dyDescent="0.35">
      <c r="B67" s="1">
        <v>-22</v>
      </c>
      <c r="C67" s="83" t="s">
        <v>555</v>
      </c>
    </row>
    <row r="68" spans="2:5" x14ac:dyDescent="0.35">
      <c r="B68" s="1">
        <v>-23</v>
      </c>
      <c r="C68" s="83" t="s">
        <v>555</v>
      </c>
    </row>
    <row r="69" spans="2:5" x14ac:dyDescent="0.35">
      <c r="B69" s="1">
        <v>-24</v>
      </c>
      <c r="C69" s="83" t="s">
        <v>555</v>
      </c>
    </row>
    <row r="70" spans="2:5" x14ac:dyDescent="0.35">
      <c r="B70" s="1">
        <v>-25</v>
      </c>
      <c r="C70" s="83" t="s">
        <v>555</v>
      </c>
    </row>
  </sheetData>
  <mergeCells count="1">
    <mergeCell ref="G20:H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8" tint="-0.249977111117893"/>
  </sheetPr>
  <dimension ref="A1:AS29"/>
  <sheetViews>
    <sheetView showGridLines="0" tabSelected="1" zoomScale="80" zoomScaleNormal="80" workbookViewId="0">
      <pane ySplit="10" topLeftCell="A28" activePane="bottomLeft" state="frozen"/>
      <selection pane="bottomLeft" activeCell="O11" sqref="O11"/>
    </sheetView>
  </sheetViews>
  <sheetFormatPr baseColWidth="10" defaultColWidth="0" defaultRowHeight="14.5" x14ac:dyDescent="0.35"/>
  <cols>
    <col min="1" max="1" width="7.08203125" style="144" customWidth="1"/>
    <col min="2" max="2" width="13.25" style="144" customWidth="1"/>
    <col min="3" max="3" width="46.83203125" style="145" customWidth="1"/>
    <col min="4" max="4" width="49.75" style="146" customWidth="1"/>
    <col min="5" max="5" width="50.25" style="147" customWidth="1"/>
    <col min="6" max="6" width="14.33203125" style="1" customWidth="1"/>
    <col min="7" max="7" width="14.5" style="1" customWidth="1"/>
    <col min="8" max="8" width="16" style="1" customWidth="1"/>
    <col min="9" max="9" width="19" style="1" customWidth="1"/>
    <col min="10" max="10" width="22.83203125" style="1" customWidth="1"/>
    <col min="11" max="13" width="13" style="1" customWidth="1"/>
    <col min="14" max="14" width="17.08203125" style="1" customWidth="1"/>
    <col min="15" max="15" width="15.5" style="3" customWidth="1"/>
    <col min="16" max="16" width="15.75" style="148" customWidth="1"/>
    <col min="17" max="17" width="56.83203125" style="149" customWidth="1"/>
    <col min="18" max="18" width="22" style="149" customWidth="1"/>
    <col min="19" max="19" width="16.25" style="149" customWidth="1"/>
    <col min="20" max="20" width="24.83203125" style="148" customWidth="1"/>
    <col min="21" max="21" width="19.5" style="148" customWidth="1"/>
    <col min="22" max="23" width="9.08203125" style="150" customWidth="1"/>
    <col min="24" max="24" width="9" style="150" customWidth="1"/>
    <col min="25" max="25" width="18.75" style="148" customWidth="1"/>
    <col min="26" max="26" width="10.83203125" style="151" customWidth="1"/>
    <col min="27" max="27" width="18.08203125" style="1" customWidth="1"/>
    <col min="28" max="28" width="10" style="1" customWidth="1"/>
    <col min="29" max="45" width="0" style="1" hidden="1" customWidth="1"/>
    <col min="46" max="16384" width="10" style="1" hidden="1"/>
  </cols>
  <sheetData>
    <row r="1" spans="1:41" hidden="1" x14ac:dyDescent="0.35">
      <c r="A1" s="478"/>
      <c r="B1" s="479"/>
      <c r="C1" s="480"/>
      <c r="D1" s="487" t="s">
        <v>556</v>
      </c>
      <c r="E1" s="488"/>
      <c r="F1" s="488"/>
      <c r="G1" s="488"/>
      <c r="H1" s="488"/>
      <c r="I1" s="488"/>
      <c r="J1" s="488"/>
      <c r="K1" s="488"/>
      <c r="L1" s="488"/>
      <c r="M1" s="488"/>
      <c r="N1" s="488"/>
      <c r="O1" s="488"/>
      <c r="P1" s="488"/>
      <c r="Q1" s="488"/>
      <c r="R1" s="488"/>
      <c r="S1" s="488"/>
      <c r="T1" s="488"/>
      <c r="U1" s="488"/>
      <c r="V1" s="488"/>
      <c r="W1" s="488"/>
      <c r="X1" s="488"/>
      <c r="Y1" s="488"/>
      <c r="Z1" s="488"/>
      <c r="AA1" s="489"/>
      <c r="AB1" s="199"/>
      <c r="AC1" s="199"/>
      <c r="AD1" s="199"/>
      <c r="AE1" s="199"/>
      <c r="AF1" s="199"/>
      <c r="AG1" s="199"/>
      <c r="AH1" s="199"/>
      <c r="AI1" s="199"/>
      <c r="AJ1" s="199"/>
    </row>
    <row r="2" spans="1:41" hidden="1" x14ac:dyDescent="0.35">
      <c r="A2" s="481"/>
      <c r="B2" s="482"/>
      <c r="C2" s="483"/>
      <c r="D2" s="490"/>
      <c r="E2" s="490"/>
      <c r="F2" s="490"/>
      <c r="G2" s="490"/>
      <c r="H2" s="490"/>
      <c r="I2" s="490"/>
      <c r="J2" s="490"/>
      <c r="K2" s="490"/>
      <c r="L2" s="490"/>
      <c r="M2" s="490"/>
      <c r="N2" s="490"/>
      <c r="O2" s="490"/>
      <c r="P2" s="490"/>
      <c r="Q2" s="490"/>
      <c r="R2" s="490"/>
      <c r="S2" s="490"/>
      <c r="T2" s="490"/>
      <c r="U2" s="490"/>
      <c r="V2" s="490"/>
      <c r="W2" s="490"/>
      <c r="X2" s="490"/>
      <c r="Y2" s="490"/>
      <c r="Z2" s="490"/>
      <c r="AA2" s="491"/>
      <c r="AB2" s="199"/>
      <c r="AC2" s="199"/>
      <c r="AD2" s="199"/>
      <c r="AE2" s="199"/>
      <c r="AF2" s="199"/>
      <c r="AG2" s="199"/>
      <c r="AH2" s="199"/>
      <c r="AI2" s="199"/>
      <c r="AJ2" s="199"/>
    </row>
    <row r="3" spans="1:41" hidden="1" x14ac:dyDescent="0.35">
      <c r="A3" s="481"/>
      <c r="B3" s="482"/>
      <c r="C3" s="483"/>
      <c r="D3" s="490"/>
      <c r="E3" s="490"/>
      <c r="F3" s="490"/>
      <c r="G3" s="490"/>
      <c r="H3" s="490"/>
      <c r="I3" s="490"/>
      <c r="J3" s="490"/>
      <c r="K3" s="490"/>
      <c r="L3" s="490"/>
      <c r="M3" s="490"/>
      <c r="N3" s="490"/>
      <c r="O3" s="490"/>
      <c r="P3" s="490"/>
      <c r="Q3" s="490"/>
      <c r="R3" s="490"/>
      <c r="S3" s="490"/>
      <c r="T3" s="490"/>
      <c r="U3" s="490"/>
      <c r="V3" s="490"/>
      <c r="W3" s="490"/>
      <c r="X3" s="490"/>
      <c r="Y3" s="490"/>
      <c r="Z3" s="490"/>
      <c r="AA3" s="491"/>
      <c r="AB3" s="199"/>
      <c r="AC3" s="199"/>
      <c r="AD3" s="199"/>
      <c r="AE3" s="199"/>
      <c r="AF3" s="199"/>
      <c r="AG3" s="199"/>
      <c r="AH3" s="199"/>
      <c r="AI3" s="199"/>
      <c r="AJ3" s="199"/>
    </row>
    <row r="4" spans="1:41" hidden="1" x14ac:dyDescent="0.35">
      <c r="A4" s="481"/>
      <c r="B4" s="482"/>
      <c r="C4" s="483"/>
      <c r="D4" s="490"/>
      <c r="E4" s="490"/>
      <c r="F4" s="490"/>
      <c r="G4" s="490"/>
      <c r="H4" s="490"/>
      <c r="I4" s="490"/>
      <c r="J4" s="490"/>
      <c r="K4" s="490"/>
      <c r="L4" s="490"/>
      <c r="M4" s="490"/>
      <c r="N4" s="490"/>
      <c r="O4" s="490"/>
      <c r="P4" s="490"/>
      <c r="Q4" s="490"/>
      <c r="R4" s="490"/>
      <c r="S4" s="490"/>
      <c r="T4" s="490"/>
      <c r="U4" s="490"/>
      <c r="V4" s="490"/>
      <c r="W4" s="490"/>
      <c r="X4" s="490"/>
      <c r="Y4" s="490"/>
      <c r="Z4" s="490"/>
      <c r="AA4" s="491"/>
      <c r="AB4" s="199"/>
      <c r="AC4" s="199"/>
      <c r="AD4" s="199"/>
      <c r="AE4" s="199"/>
      <c r="AF4" s="199"/>
      <c r="AG4" s="199"/>
      <c r="AH4" s="199"/>
      <c r="AI4" s="199"/>
      <c r="AJ4" s="199"/>
    </row>
    <row r="5" spans="1:41" hidden="1" x14ac:dyDescent="0.35">
      <c r="A5" s="484"/>
      <c r="B5" s="485"/>
      <c r="C5" s="486"/>
      <c r="D5" s="492"/>
      <c r="E5" s="492"/>
      <c r="F5" s="492"/>
      <c r="G5" s="492"/>
      <c r="H5" s="492"/>
      <c r="I5" s="492"/>
      <c r="J5" s="492"/>
      <c r="K5" s="492"/>
      <c r="L5" s="492"/>
      <c r="M5" s="492"/>
      <c r="N5" s="492"/>
      <c r="O5" s="492"/>
      <c r="P5" s="492"/>
      <c r="Q5" s="492"/>
      <c r="R5" s="492"/>
      <c r="S5" s="492"/>
      <c r="T5" s="492"/>
      <c r="U5" s="492"/>
      <c r="V5" s="492"/>
      <c r="W5" s="492"/>
      <c r="X5" s="492"/>
      <c r="Y5" s="492"/>
      <c r="Z5" s="492"/>
      <c r="AA5" s="493"/>
      <c r="AB5" s="199"/>
      <c r="AC5" s="199"/>
      <c r="AD5" s="199"/>
      <c r="AE5" s="199"/>
      <c r="AF5" s="199"/>
      <c r="AG5" s="199"/>
      <c r="AH5" s="199"/>
      <c r="AI5" s="199"/>
      <c r="AJ5" s="199"/>
    </row>
    <row r="6" spans="1:41" ht="7.5" customHeight="1" x14ac:dyDescent="0.35">
      <c r="A6" s="213"/>
      <c r="B6" s="208"/>
      <c r="C6" s="207"/>
      <c r="D6" s="208"/>
      <c r="E6" s="214"/>
      <c r="F6" s="208"/>
      <c r="G6" s="208"/>
      <c r="H6" s="208"/>
      <c r="I6" s="208"/>
      <c r="J6" s="208"/>
      <c r="K6" s="208"/>
      <c r="L6" s="208"/>
      <c r="M6" s="208"/>
      <c r="N6" s="208"/>
      <c r="O6" s="208"/>
      <c r="P6" s="208"/>
      <c r="Q6" s="208"/>
      <c r="R6" s="208"/>
      <c r="S6" s="208"/>
      <c r="T6" s="208"/>
      <c r="U6" s="208"/>
      <c r="V6" s="215"/>
      <c r="W6" s="215"/>
      <c r="X6" s="215"/>
      <c r="Y6" s="208"/>
      <c r="Z6" s="208"/>
      <c r="AA6" s="209"/>
      <c r="AB6" s="199"/>
      <c r="AC6" s="199"/>
      <c r="AD6" s="199"/>
      <c r="AE6" s="199"/>
      <c r="AF6" s="199"/>
      <c r="AG6" s="199"/>
      <c r="AH6" s="199"/>
      <c r="AI6" s="199"/>
      <c r="AJ6" s="199"/>
    </row>
    <row r="7" spans="1:41" ht="69" customHeight="1" x14ac:dyDescent="0.35">
      <c r="A7" s="494"/>
      <c r="B7" s="495"/>
      <c r="C7" s="495"/>
      <c r="D7" s="496" t="str">
        <f>+Contexto!B13</f>
        <v>El CONTRATISTA con plena autonomía técnica, financiera y administrativa, se compromete a realizar la ejecución del proyecto denominado “CONSTRUCCIÓN DEL SISTEMA DE DISTRIBUCIÓN DE GAS NATURAL POR RED PARA LAS VEREDAS VILLA HERMOSA, SITIO NUEVO, SAN CAYETANO, SAILAN, RODEO, PALACIO, LA PLAYA, COSTA RICA, CAMPO HERMOSO, BERLÍN, EL FUNCIAL, LOS NARANJOS Y CACHIPAYAL EN EL MUNICIPIO DE LA BELLEZA”.</v>
      </c>
      <c r="E7" s="497"/>
      <c r="F7" s="497"/>
      <c r="G7" s="497"/>
      <c r="H7" s="498"/>
      <c r="I7" s="216" t="s">
        <v>558</v>
      </c>
      <c r="J7" s="499">
        <f ca="1">TODAY()</f>
        <v>45880</v>
      </c>
      <c r="K7" s="500"/>
      <c r="L7" s="500"/>
      <c r="M7" s="500"/>
      <c r="N7" s="501"/>
      <c r="O7" s="216" t="s">
        <v>559</v>
      </c>
      <c r="P7" s="217" t="str">
        <f>+Contexto!B12</f>
        <v>No aplica</v>
      </c>
      <c r="Q7" s="216" t="s">
        <v>560</v>
      </c>
      <c r="R7" s="202"/>
      <c r="S7" s="495" t="s">
        <v>561</v>
      </c>
      <c r="T7" s="495"/>
      <c r="U7" s="202"/>
      <c r="V7" s="218"/>
      <c r="W7" s="218"/>
      <c r="X7" s="218"/>
      <c r="Y7" s="219" t="s">
        <v>562</v>
      </c>
      <c r="Z7" s="218"/>
      <c r="AA7" s="220" t="e">
        <f>VLOOKUP(R7&amp;U7,[1]Parámetros!$G$21:$H$46,2,FALSE)</f>
        <v>#N/A</v>
      </c>
      <c r="AB7" s="199"/>
      <c r="AC7" s="199"/>
      <c r="AD7" s="199"/>
      <c r="AE7" s="199"/>
      <c r="AF7" s="199"/>
      <c r="AG7" s="199"/>
      <c r="AH7" s="199"/>
      <c r="AI7" s="199"/>
      <c r="AJ7" s="199"/>
    </row>
    <row r="8" spans="1:41" ht="8.25" customHeight="1" x14ac:dyDescent="0.35">
      <c r="A8" s="221"/>
      <c r="B8" s="211"/>
      <c r="C8" s="210"/>
      <c r="D8" s="211"/>
      <c r="E8" s="222"/>
      <c r="F8" s="211"/>
      <c r="G8" s="211"/>
      <c r="H8" s="211"/>
      <c r="I8" s="211"/>
      <c r="J8" s="211"/>
      <c r="K8" s="211"/>
      <c r="L8" s="211"/>
      <c r="M8" s="211"/>
      <c r="N8" s="211"/>
      <c r="O8" s="211"/>
      <c r="P8" s="211"/>
      <c r="Q8" s="211"/>
      <c r="R8" s="211"/>
      <c r="S8" s="211"/>
      <c r="T8" s="211"/>
      <c r="U8" s="211"/>
      <c r="V8" s="223"/>
      <c r="W8" s="223"/>
      <c r="X8" s="223"/>
      <c r="Y8" s="211"/>
      <c r="Z8" s="211"/>
      <c r="AA8" s="212"/>
      <c r="AB8" s="199"/>
      <c r="AC8" s="199"/>
      <c r="AD8" s="199"/>
      <c r="AE8" s="199"/>
      <c r="AF8" s="199"/>
      <c r="AG8" s="199"/>
      <c r="AH8" s="199"/>
      <c r="AI8" s="199"/>
      <c r="AJ8" s="199"/>
    </row>
    <row r="9" spans="1:41" ht="26.25" customHeight="1" x14ac:dyDescent="0.35">
      <c r="A9" s="475" t="s">
        <v>62</v>
      </c>
      <c r="B9" s="475"/>
      <c r="C9" s="475"/>
      <c r="D9" s="475"/>
      <c r="E9" s="475"/>
      <c r="F9" s="475"/>
      <c r="G9" s="476" t="s">
        <v>83</v>
      </c>
      <c r="H9" s="476"/>
      <c r="I9" s="476"/>
      <c r="J9" s="476"/>
      <c r="K9" s="476"/>
      <c r="L9" s="476"/>
      <c r="M9" s="476"/>
      <c r="N9" s="476"/>
      <c r="O9" s="476" t="s">
        <v>176</v>
      </c>
      <c r="P9" s="476"/>
      <c r="Q9" s="476"/>
      <c r="R9" s="476"/>
      <c r="S9" s="476"/>
      <c r="T9" s="476"/>
      <c r="U9" s="476" t="s">
        <v>202</v>
      </c>
      <c r="V9" s="476"/>
      <c r="W9" s="476"/>
      <c r="X9" s="476"/>
      <c r="Y9" s="476"/>
      <c r="Z9" s="476"/>
      <c r="AA9" s="476"/>
      <c r="AB9" s="201"/>
      <c r="AC9" s="201"/>
      <c r="AD9" s="201"/>
      <c r="AE9" s="201"/>
      <c r="AF9" s="201"/>
      <c r="AG9" s="201"/>
      <c r="AH9" s="201"/>
      <c r="AI9" s="201"/>
      <c r="AJ9" s="201"/>
      <c r="AK9" s="184"/>
      <c r="AL9" s="184"/>
      <c r="AM9" s="184"/>
      <c r="AN9" s="184"/>
      <c r="AO9" s="184"/>
    </row>
    <row r="10" spans="1:41" ht="72.75" customHeight="1" x14ac:dyDescent="0.35">
      <c r="A10" s="203" t="s">
        <v>563</v>
      </c>
      <c r="B10" s="203" t="s">
        <v>564</v>
      </c>
      <c r="C10" s="203" t="s">
        <v>565</v>
      </c>
      <c r="D10" s="203" t="s">
        <v>566</v>
      </c>
      <c r="E10" s="203" t="s">
        <v>567</v>
      </c>
      <c r="F10" s="203" t="s">
        <v>568</v>
      </c>
      <c r="G10" s="204" t="s">
        <v>569</v>
      </c>
      <c r="H10" s="204" t="s">
        <v>570</v>
      </c>
      <c r="I10" s="204" t="s">
        <v>571</v>
      </c>
      <c r="J10" s="204" t="s">
        <v>572</v>
      </c>
      <c r="K10" s="204" t="s">
        <v>573</v>
      </c>
      <c r="L10" s="204" t="s">
        <v>574</v>
      </c>
      <c r="M10" s="204" t="s">
        <v>575</v>
      </c>
      <c r="N10" s="205" t="s">
        <v>576</v>
      </c>
      <c r="O10" s="206" t="s">
        <v>577</v>
      </c>
      <c r="P10" s="206" t="s">
        <v>578</v>
      </c>
      <c r="Q10" s="206" t="s">
        <v>579</v>
      </c>
      <c r="R10" s="206" t="s">
        <v>580</v>
      </c>
      <c r="S10" s="206" t="s">
        <v>581</v>
      </c>
      <c r="T10" s="206" t="s">
        <v>582</v>
      </c>
      <c r="U10" s="204" t="s">
        <v>583</v>
      </c>
      <c r="V10" s="477" t="s">
        <v>584</v>
      </c>
      <c r="W10" s="477"/>
      <c r="X10" s="477"/>
      <c r="Y10" s="204" t="s">
        <v>585</v>
      </c>
      <c r="Z10" s="204" t="s">
        <v>586</v>
      </c>
      <c r="AA10" s="205" t="s">
        <v>587</v>
      </c>
      <c r="AB10" s="201"/>
      <c r="AC10" s="201"/>
      <c r="AD10" s="201"/>
      <c r="AE10" s="201"/>
      <c r="AF10" s="201"/>
      <c r="AG10" s="201"/>
      <c r="AH10" s="201"/>
      <c r="AI10" s="201"/>
      <c r="AJ10" s="201"/>
      <c r="AK10" s="184"/>
      <c r="AL10" s="184"/>
      <c r="AM10" s="184"/>
      <c r="AN10" s="184"/>
      <c r="AO10" s="184"/>
    </row>
    <row r="11" spans="1:41" ht="125" x14ac:dyDescent="0.35">
      <c r="A11" s="190">
        <v>1</v>
      </c>
      <c r="B11" s="190" t="s">
        <v>506</v>
      </c>
      <c r="C11" s="196" t="s">
        <v>588</v>
      </c>
      <c r="D11" s="224" t="s">
        <v>589</v>
      </c>
      <c r="E11" s="196" t="s">
        <v>590</v>
      </c>
      <c r="F11" s="192" t="s">
        <v>532</v>
      </c>
      <c r="G11" s="190" t="s">
        <v>591</v>
      </c>
      <c r="H11" s="192" t="s">
        <v>592</v>
      </c>
      <c r="I11" s="192" t="s">
        <v>593</v>
      </c>
      <c r="J11" s="192" t="s">
        <v>594</v>
      </c>
      <c r="K11" s="192">
        <f>MIN(LEFT(H11,2),LEFT(I11,2),LEFT(J11,2))</f>
        <v>-2</v>
      </c>
      <c r="L11" s="192">
        <f>MAX(LEFT(H11,2),LEFT(I11,2),LEFT(J11,2))</f>
        <v>-1</v>
      </c>
      <c r="M11" s="192">
        <f>LEFT(G11,2)*(IF(K11&gt;=0,L11,MIN(K11:L11)))</f>
        <v>-4</v>
      </c>
      <c r="N11" s="193" t="s">
        <v>553</v>
      </c>
      <c r="O11" s="193" t="s">
        <v>400</v>
      </c>
      <c r="P11" s="193" t="s">
        <v>529</v>
      </c>
      <c r="Q11" s="191" t="s">
        <v>595</v>
      </c>
      <c r="R11" s="193" t="s">
        <v>518</v>
      </c>
      <c r="S11" s="190">
        <v>-1</v>
      </c>
      <c r="T11" s="193" t="s">
        <v>400</v>
      </c>
      <c r="U11" s="194" t="str">
        <f>+IF(AND(R11="Probabilidad",S11=0),G11,IF(AND(R11="Probabilidad",S11=-1,G11="5 - Muy alto"),"4 - alto",IF(AND(R11="Probabilidad",S11=-2,G11="5 - Muy alto"),"3 - Medio",IF(AND(R11="Probabilidad",S11=-1,G11="4 - Alto"),"3 - Medio",IF(AND(R11="Probabilidad",S11=-2,G11="4 - Alto"),"2 - Bajo",IF(AND(R11="Probabilidad",S11=-1,G11="3 - Medio"),"2 - Bajo",IF(AND(R11="Probabilidad",S11=-2,G11="3 - Medio"),"1 - Muy bajo",IF(AND(R11="Probabilidad",S11=-1,G11="2 - Bajo"),"1 - Muy bajo",IF(AND(R11="Probabilidad",S11=-2,G11="2 - Bajo"),"1 - Muy bajo",IF(AND(R11="Probabilidad",S11=-1,G11="1 - Muy bajo"),"1 - Muy bajo",IF(AND(R11="Probabilidad",S11=-2,G11="1 - Muy bajo"),"1 - Muy bajo",IF(AND(R11="Probabilidad-impacto",S11=-2,G11="5 - Muy alto"),"3 - Medio",IF(AND(R11="Probabilidad-impacto",S11=-1,G11="5 - Muy alto"),"4 - Alto",IF(AND(R11="Probabilidad-impacto",S11=-2,G11="4 - Alto"),"2 - Bajo",IF(AND(R11="Probabilidad-impacto",S11=-1,G11="4 - Alto"),"3 - Medio",IF(AND(R11="Probabilidad-impacto",S11=-2,G11="3 - Medio"),"1 - Muy bajo",IF(AND(R11="Probabilidad-impacto",S11=-1,G11="3 - Medio"),"2 - Bajo",IF(AND(R11="Probabilidad-impacto",S11=-2,G11="2 - Bajo"),"1 - Muy bajo",IF(AND(R11="Probabilidad-impacto",S11=-1,G11="2 - Bajo"),"1 - Muy bajo",IF(AND(R11="Probabilidad-impacto",S11=-2,G11="1 - Muy bajo"),"1 - Muy bajo",IF(AND(R11="Probabilidad-impacto",S11=-1,G11="1 - Muy bajo"),"1 - Muy bajo",IF(AND(R11="Probabilidad",S11=1,G11="5 - Muy alto"),"5 - Muy alto",IF(AND(R11="Probabilidad",S11=2,G11="5 - Muy alto"),"5 - Muy alto",IF(AND(R11="Probabilidad",S11=1,G11="4 - Alto"),"5 - Muy alto",IF(AND(R11="Probabilidad",S11=2,G11="4 - Alto"),"5 - Muy alto",IF(AND(R11="Probabilidad",S11=1,G11="3 - Medio"),"4 - Alto",IF(AND(R11="Probabilidad",S11=2,G11="3 - Medio"),"5 - Muy alto",IF(AND(R11="Probabilidad",S11=1,G11="2 - Bajo"),"3 - Medio",IF(AND(R11="Probabilidad",S11=2,G11="2 - Bajo"),"4 - Alto",IF(AND(R11="Probabilidad",S11=1,G11="1 - Muy bajo"),"2 - Bajo",IF(AND(R11="Probabilidad",S11=2,G11="1 - Muy bajo"),"3 - Medio",IF(AND(R11="Probabilidad-impacto",S11=2,G11="5 - Muy alto"),"5 - Muy alto",IF(AND(R11="Probabilidad-impacto",S11=1,G11="5 - Muy alto"),"5 - Muy alto",IF(AND(R11="Probabilidad-impacto",S11=2,G11="4 - Alto"),"5 - Muy alto",IF(AND(R11="Probabilidad-impacto",S11=1,G11="4 - Alto"),"5 - Muy alto",IF(AND(R11="Probabilidad-impacto",S11=2,G11="3 - Medio"),"5 - Muy alto",IF(AND(R11="Probabilidad-impacto",S11=1,G11="3 - Medio"),"4 - Alto",IF(AND(R11="Probabilidad-impacto",S11=2,G11="2 - Bajo"),"4 - Alto",IF(AND(R11="Probabilidad-impacto",S11=1,G11="2 - Bajo"),"3 - Medio",IF(AND(R11="Probabilidad-impacto",S11=2,G11="1 - Muy bajo"),"3 - Medio",IF(AND(R11="Probabilidad-impacto",S11=1,G11="1 - Muy bajo"),"2 - Bajo",G11)))))))))))))))))))))))))))))))))))))))))</f>
        <v>2 - Medio</v>
      </c>
      <c r="V11" s="193" t="str">
        <f>IF(AND(R11="Impacto",S11=0),K11,IF(AND(R11="Impacto",S11=-2,K11=-5),"-3",IF(AND(R11="Impacto",S11=-1,K11=-5),"-4",IF(AND(R11="Impacto",S11=-2,K11=-4),"-2",IF(AND(R11="Impacto",S11=-1,K11=-4),"-3",IF(AND(R11="Impacto",S11=-2,K11=-3),"-1",IF(AND(R11="Impacto",S11=-1,K11=-3),"-2",IF(AND(R11="Impacto",S11=-2,K11=-2),"-1",IF(AND(R11="Impacto",S11=-1,K11=-2),"-1",IF(AND(R11="Impacto",S11=-2,K11=-1),"-1",IF(AND(R11="Impacto",S11=-1,K11=-1),"-1",IF(AND(R11="Probabilidad-impacto",S11=-2,K11=-5),"-3",IF(AND(R11="Probabilidad-impacto",S11=-1,K11=-5),"-4",IF(AND(R11="Probabilidad-impacto",S11=-2,K11=-4),"-2",IF(AND(R11="Probabilidad-impacto",S11=-1,K11=-4),"-3",IF(AND(R11="Probabilidad-impacto",S11=-2,K11=-3),"-1",IF(AND(R11="Probabilidad-impacto",S11=-1,K11=-3),"-2",IF(AND(R11="Probabilidad-impacto",S11=-2,K11=-2),"-1",IF(AND(R11="Probabilidad-impacto",S11=-1,K11=-2),"-1",IF(AND(R11="Probabilidad-impacto",S11=-2,K11=-1),"-1",IF(AND(R11="Probabilidad-impacto",S11=-1,K11=-1),"-1",K11)))))))))))))))))))))</f>
        <v>-1</v>
      </c>
      <c r="W11" s="193">
        <f>IF(AND(R11="Impacto",S11=0),L11,IF(AND(R11="Impacto",S11=2,L11=5),"5",IF(AND(R11="Impacto",S11=1,L11=5),"5",IF(AND(R11="Impacto",S11=2,L11=4),"5",IF(AND(R11="Impacto",S11=1,L11=4),"5",IF(AND(R11="Impacto",S11=2,L11=3),"5",IF(AND(R11="Impacto",S11=1,L11=3),"4",IF(AND(R11="Impacto",S11=2,L11=2),"4",IF(AND(R11="Impacto",S11=1,L11=2),"3",IF(AND(R11="Impacto",S11=2,L11=1),"3",IF(AND(R11="Impacto",S11=1,L11=1),"2",IF(AND(R11="Probabilidad-impacto",S11=2,L11=5),"5",IF(AND(R11="Probabilidad-impacto",S11=1,L11=5),"5",IF(AND(R11="Probabilidad-impacto",S11=2,L11=4),"5",IF(AND(R11="Probabilidad-impacto",S11=1,L11=4),"5",IF(AND(R11="Probabilidad-impacto",S11=2,L11=3),"5",IF(AND(R11="Probabilidad-impacto",S11=1,L11=3),"4",IF(AND(R11="Probabilidad-impacto",S11=2,L11=2),"4",IF(AND(R11="Probabilidad-impacto",S11=1,L11=2),"3",IF(AND(R11="Probabilidad-impacto",S11=2,L11=1),"3",IF(AND(R11="Probabilidad-impacto",S11=1,L11=1),"2",L11)))))))))))))))))))))</f>
        <v>-1</v>
      </c>
      <c r="X11" s="193">
        <f>IF(W11&gt;0,W11*1,V11*1)</f>
        <v>-1</v>
      </c>
      <c r="Y11" s="194" t="str">
        <f>IF(X11=-1,"-1 Muy bajo",IF(X11=-2,"-2 Bajo",IF(X11=-3,"-3 Medio",IF(X11=-4,"-4 Muy alto",IF(X11=-5,"-5 Muy alto",IF(X11=1,"1 Muy bajo",IF(X11=2,"2 Bajo",IF(X11=3,"3 Medio",IF(X11=4,"4 Muy alto",IF(X11=5,"5 Muy alto",0))))))))))</f>
        <v>-1 Muy bajo</v>
      </c>
      <c r="Z11" s="193">
        <f>LEFT(U11,2)*(LEFT(Y11,2))</f>
        <v>-2</v>
      </c>
      <c r="AA11" s="194" t="str">
        <f>IF(AND(U11="4 - Alto",Z11=-4),"MODERADO",VLOOKUP(Z11,[1]Parámetros!$B$20:$C$70,2,FALSE))</f>
        <v xml:space="preserve">BAJO </v>
      </c>
      <c r="AB11" s="201"/>
      <c r="AC11" s="201"/>
      <c r="AD11" s="201"/>
      <c r="AE11" s="201"/>
      <c r="AF11" s="201"/>
      <c r="AG11" s="201"/>
      <c r="AH11" s="201"/>
      <c r="AI11" s="201"/>
      <c r="AJ11" s="201"/>
      <c r="AK11" s="184"/>
      <c r="AL11" s="184"/>
      <c r="AM11" s="184"/>
      <c r="AN11" s="184"/>
      <c r="AO11" s="184"/>
    </row>
    <row r="12" spans="1:41" ht="62.5" x14ac:dyDescent="0.35">
      <c r="A12" s="195">
        <v>2</v>
      </c>
      <c r="B12" s="185" t="s">
        <v>506</v>
      </c>
      <c r="C12" s="186" t="s">
        <v>596</v>
      </c>
      <c r="D12" s="187" t="s">
        <v>597</v>
      </c>
      <c r="E12" s="187" t="s">
        <v>598</v>
      </c>
      <c r="F12" s="188" t="s">
        <v>532</v>
      </c>
      <c r="G12" s="188" t="s">
        <v>599</v>
      </c>
      <c r="H12" s="188" t="s">
        <v>600</v>
      </c>
      <c r="I12" s="188" t="s">
        <v>601</v>
      </c>
      <c r="J12" s="188" t="s">
        <v>594</v>
      </c>
      <c r="K12" s="188">
        <f t="shared" ref="K12" si="0">MIN(LEFT(H12,2),LEFT(I12,2),LEFT(J12,2))</f>
        <v>-3</v>
      </c>
      <c r="L12" s="188">
        <f t="shared" ref="L12" si="1">MAX(LEFT(H12,2),LEFT(I12,2),LEFT(J12,2))</f>
        <v>-1</v>
      </c>
      <c r="M12" s="188">
        <f t="shared" ref="M12:M26" si="2">LEFT(G12,2)*(IF(K12&gt;=0,L12,MIN(K12:L12)))</f>
        <v>-12</v>
      </c>
      <c r="N12" s="188" t="str">
        <f>IF(AND(G12="4 - Alto",M12=-4),"MODERADO",VLOOKUP(M12,[2]Parámetros!$B$20:$C$70,2,FALSE))</f>
        <v>ALTO</v>
      </c>
      <c r="O12" s="233" t="s">
        <v>706</v>
      </c>
      <c r="P12" s="188" t="s">
        <v>517</v>
      </c>
      <c r="Q12" s="186" t="s">
        <v>602</v>
      </c>
      <c r="R12" s="188" t="s">
        <v>510</v>
      </c>
      <c r="S12" s="195">
        <v>-1</v>
      </c>
      <c r="T12" s="188" t="str">
        <f t="shared" ref="T12" si="3">O12</f>
        <v>Patrimonio Autonomo AYP TGI Gerencia 2024</v>
      </c>
      <c r="U12" s="195" t="str">
        <f t="shared" ref="U12" si="4">+IF(AND(R12="Probabilidad",S12=0),G12,IF(AND(R12="Probabilidad",S12=-1,G12="5 - Muy alto"),"4 - alto",IF(AND(R12="Probabilidad",S12=-2,G12="5 - Muy alto"),"3 - Medio",IF(AND(R12="Probabilidad",S12=-1,G12="4 - Alto"),"3 - Medio",IF(AND(R12="Probabilidad",S12=-2,G12="4 - Alto"),"2 - Bajo",IF(AND(R12="Probabilidad",S12=-1,G12="3 - Medio"),"2 - Bajo",IF(AND(R12="Probabilidad",S12=-2,G12="3 - Medio"),"1 - Muy bajo",IF(AND(R12="Probabilidad",S12=-1,G12="2 - Bajo"),"1 - Muy bajo",IF(AND(R12="Probabilidad",S12=-2,G12="2 - Bajo"),"1 - Muy bajo",IF(AND(R12="Probabilidad",S12=-1,G12="1 - Muy bajo"),"1 - Muy bajo",IF(AND(R12="Probabilidad",S12=-2,G12="1 - Muy bajo"),"1 - Muy bajo",IF(AND(R12="Probabilidad-impacto",S12=-2,G12="5 - Muy alto"),"3 - Medio",IF(AND(R12="Probabilidad-impacto",S12=-1,G12="5 - Muy alto"),"4 - Alto",IF(AND(R12="Probabilidad-impacto",S12=-2,G12="4 - Alto"),"2 - Bajo",IF(AND(R12="Probabilidad-impacto",S12=-1,G12="4 - Alto"),"3 - Medio",IF(AND(R12="Probabilidad-impacto",S12=-2,G12="3 - Medio"),"1 - Muy bajo",IF(AND(R12="Probabilidad-impacto",S12=-1,G12="3 - Medio"),"2 - Bajo",IF(AND(R12="Probabilidad-impacto",S12=-2,G12="2 - Bajo"),"1 - Muy bajo",IF(AND(R12="Probabilidad-impacto",S12=-1,G12="2 - Bajo"),"1 - Muy bajo",IF(AND(R12="Probabilidad-impacto",S12=-2,G12="1 - Muy bajo"),"1 - Muy bajo",IF(AND(R12="Probabilidad-impacto",S12=-1,G12="1 - Muy bajo"),"1 - Muy bajo",IF(AND(R12="Probabilidad",S12=1,G12="5 - Muy alto"),"5 - Muy alto",IF(AND(R12="Probabilidad",S12=2,G12="5 - Muy alto"),"5 - Muy alto",IF(AND(R12="Probabilidad",S12=1,G12="4 - Alto"),"5 - Muy alto",IF(AND(R12="Probabilidad",S12=2,G12="4 - Alto"),"5 - Muy alto",IF(AND(R12="Probabilidad",S12=1,G12="3 - Medio"),"4 - Alto",IF(AND(R12="Probabilidad",S12=2,G12="3 - Medio"),"5 - Muy alto",IF(AND(R12="Probabilidad",S12=1,G12="2 - Bajo"),"3 - Medio",IF(AND(R12="Probabilidad",S12=2,G12="2 - Bajo"),"4 - Alto",IF(AND(R12="Probabilidad",S12=1,G12="1 - Muy bajo"),"2 - Bajo",IF(AND(R12="Probabilidad",S12=2,G12="1 - Muy bajo"),"3 - Medio",IF(AND(R12="Probabilidad-impacto",S12=2,G12="5 - Muy alto"),"5 - Muy alto",IF(AND(R12="Probabilidad-impacto",S12=1,G12="5 - Muy alto"),"5 - Muy alto",IF(AND(R12="Probabilidad-impacto",S12=2,G12="4 - Alto"),"5 - Muy alto",IF(AND(R12="Probabilidad-impacto",S12=1,G12="4 - Alto"),"5 - Muy alto",IF(AND(R12="Probabilidad-impacto",S12=2,G12="3 - Medio"),"5 - Muy alto",IF(AND(R12="Probabilidad-impacto",S12=1,G12="3 - Medio"),"4 - Alto",IF(AND(R12="Probabilidad-impacto",S12=2,G12="2 - Bajo"),"4 - Alto",IF(AND(R12="Probabilidad-impacto",S12=1,G12="2 - Bajo"),"3 - Medio",IF(AND(R12="Probabilidad-impacto",S12=2,G12="1 - Muy bajo"),"3 - Medio",IF(AND(R12="Probabilidad-impacto",S12=1,G12="1 - Muy bajo"),"2 - Bajo",G12)))))))))))))))))))))))))))))))))))))))))</f>
        <v>3 - Medio</v>
      </c>
      <c r="V12" s="188">
        <f t="shared" ref="V12" si="5">IF(AND(R12="Impacto",S12=0),K12,IF(AND(R12="Impacto",S12=-2,K12=-5),"-3",IF(AND(R12="Impacto",S12=-1,K12=-5),"-4",IF(AND(R12="Impacto",S12=-2,K12=-4),"-2",IF(AND(R12="Impacto",S12=-1,K12=-4),"-3",IF(AND(R12="Impacto",S12=-2,K12=-3),"-1",IF(AND(R12="Impacto",S12=-1,K12=-3),"-2",IF(AND(R12="Impacto",S12=-2,K12=-2),"-1",IF(AND(R12="Impacto",S12=-1,K12=-2),"-1",IF(AND(R12="Impacto",S12=-2,K12=-1),"-1",IF(AND(R12="Impacto",S12=-1,K12=-1),"-1",IF(AND(R12="Probabilidad-impacto",S12=-2,K12=-5),"-3",IF(AND(R12="Probabilidad-impacto",S12=-1,K12=-5),"-4",IF(AND(R12="Probabilidad-impacto",S12=-2,K12=-4),"-2",IF(AND(R12="Probabilidad-impacto",S12=-1,K12=-4),"-3",IF(AND(R12="Probabilidad-impacto",S12=-2,K12=-3),"-1",IF(AND(R12="Probabilidad-impacto",S12=-1,K12=-3),"-2",IF(AND(R12="Probabilidad-impacto",S12=-2,K12=-2),"-1",IF(AND(R12="Probabilidad-impacto",S12=-1,K12=-2),"-1",IF(AND(R12="Probabilidad-impacto",S12=-2,K12=-1),"-1",IF(AND(R12="Probabilidad-impacto",S12=-1,K12=-1),"-1",K12)))))))))))))))))))))</f>
        <v>-3</v>
      </c>
      <c r="W12" s="188">
        <f t="shared" ref="W12" si="6">IF(AND(R12="Impacto",S12=0),L12,IF(AND(R12="Impacto",S12=2,L12=5),"5",IF(AND(R12="Impacto",S12=1,L12=5),"5",IF(AND(R12="Impacto",S12=2,L12=4),"5",IF(AND(R12="Impacto",S12=1,L12=4),"5",IF(AND(R12="Impacto",S12=2,L12=3),"5",IF(AND(R12="Impacto",S12=1,L12=3),"4",IF(AND(R12="Impacto",S12=2,L12=2),"4",IF(AND(R12="Impacto",S12=1,L12=2),"3",IF(AND(R12="Impacto",S12=2,L12=1),"3",IF(AND(R12="Impacto",S12=1,L12=1),"2",IF(AND(R12="Probabilidad-impacto",S12=2,L12=5),"5",IF(AND(R12="Probabilidad-impacto",S12=1,L12=5),"5",IF(AND(R12="Probabilidad-impacto",S12=2,L12=4),"5",IF(AND(R12="Probabilidad-impacto",S12=1,L12=4),"5",IF(AND(R12="Probabilidad-impacto",S12=2,L12=3),"5",IF(AND(R12="Probabilidad-impacto",S12=1,L12=3),"4",IF(AND(R12="Probabilidad-impacto",S12=2,L12=2),"4",IF(AND(R12="Probabilidad-impacto",S12=1,L12=2),"3",IF(AND(R12="Probabilidad-impacto",S12=2,L12=1),"3",IF(AND(R12="Probabilidad-impacto",S12=1,L12=1),"2",L12)))))))))))))))))))))</f>
        <v>-1</v>
      </c>
      <c r="X12" s="188">
        <f t="shared" ref="X12" si="7">IF(W12&gt;0,W12*1,V12*1)</f>
        <v>-3</v>
      </c>
      <c r="Y12" s="195" t="str">
        <f t="shared" ref="Y12" si="8">IF(X12=-1,"-1 Muy bajo",IF(X12=-2,"-2 Bajo",IF(X12=-3,"-3 Medio",IF(X12=-4,"-4 Muy alto",IF(X12=-5,"-5 Muy alto",IF(X12=1,"1 Muy bajo",IF(X12=2,"2 Bajo",IF(X12=3,"3 Medio",IF(X12=4,"4 Muy alto",IF(X12=5,"5 Muy alto",0))))))))))</f>
        <v>-3 Medio</v>
      </c>
      <c r="Z12" s="189">
        <f t="shared" ref="Z12:Z26" si="9">LEFT(U12,2)*(LEFT(Y12,2))</f>
        <v>-9</v>
      </c>
      <c r="AA12" s="194" t="str">
        <f>IF(AND(U12="4 - Alto",Z12=-4),"MODERADO",VLOOKUP(Z12,[1]Parámetros!$B$20:$C$70,2,FALSE))</f>
        <v xml:space="preserve">MODERADO </v>
      </c>
      <c r="AB12" s="201"/>
      <c r="AC12" s="201"/>
      <c r="AD12" s="201"/>
      <c r="AE12" s="201"/>
      <c r="AF12" s="201"/>
      <c r="AG12" s="201"/>
      <c r="AH12" s="201"/>
      <c r="AI12" s="201"/>
      <c r="AJ12" s="201"/>
      <c r="AK12" s="184"/>
      <c r="AL12" s="184"/>
      <c r="AM12" s="184"/>
      <c r="AN12" s="184"/>
      <c r="AO12" s="184"/>
    </row>
    <row r="13" spans="1:41" ht="62.5" x14ac:dyDescent="0.35">
      <c r="A13" s="190">
        <v>3</v>
      </c>
      <c r="B13" s="190" t="s">
        <v>506</v>
      </c>
      <c r="C13" s="196" t="s">
        <v>603</v>
      </c>
      <c r="D13" s="196" t="s">
        <v>604</v>
      </c>
      <c r="E13" s="196" t="s">
        <v>605</v>
      </c>
      <c r="F13" s="192" t="s">
        <v>532</v>
      </c>
      <c r="G13" s="192" t="s">
        <v>606</v>
      </c>
      <c r="H13" s="192" t="s">
        <v>607</v>
      </c>
      <c r="I13" s="192" t="s">
        <v>593</v>
      </c>
      <c r="J13" s="192" t="s">
        <v>594</v>
      </c>
      <c r="K13" s="192">
        <f>MIN(LEFT(H13,2),LEFT(I13,2),LEFT(J13,2))</f>
        <v>-3</v>
      </c>
      <c r="L13" s="192">
        <f>MAX(LEFT(H13,2),LEFT(I13,2),LEFT(J13,2))</f>
        <v>-1</v>
      </c>
      <c r="M13" s="192">
        <f t="shared" si="2"/>
        <v>-9</v>
      </c>
      <c r="N13" s="193" t="str">
        <f>IF(AND(G13="4 - Alto",M13=-4),"MODERADO",VLOOKUP(M13,[1]Parámetros!$B$20:$C$70,2,FALSE))</f>
        <v xml:space="preserve">MODERADO </v>
      </c>
      <c r="O13" s="192" t="s">
        <v>706</v>
      </c>
      <c r="P13" s="192" t="s">
        <v>521</v>
      </c>
      <c r="Q13" s="196" t="s">
        <v>608</v>
      </c>
      <c r="R13" s="192" t="s">
        <v>514</v>
      </c>
      <c r="S13" s="190">
        <v>-1</v>
      </c>
      <c r="T13" s="192" t="s">
        <v>508</v>
      </c>
      <c r="U13" s="190">
        <v>2</v>
      </c>
      <c r="V13" s="192" t="str">
        <f>IF(AND(R13="Impacto",S13=0),K13,IF(AND(R13="Impacto",S13=-2,K13=-5),"-3",IF(AND(R13="Impacto",S13=-1,K13=-5),"-4",IF(AND(R13="Impacto",S13=-2,K13=-4),"-2",IF(AND(R13="Impacto",S13=-1,K13=-4),"-3",IF(AND(R13="Impacto",S13=-2,K13=-3),"-1",IF(AND(R13="Impacto",S13=-1,K13=-3),"-2",IF(AND(R13="Impacto",S13=-2,K13=-2),"-1",IF(AND(R13="Impacto",S13=-1,K13=-2),"-1",IF(AND(R13="Impacto",S13=-2,K13=-1),"-1",IF(AND(R13="Impacto",S13=-1,K13=-1),"-1",IF(AND(R13="Probabilidad-impacto",S13=-2,K13=-5),"-3",IF(AND(R13="Probabilidad-impacto",S13=-1,K13=-5),"-4",IF(AND(R13="Probabilidad-impacto",S13=-2,K13=-4),"-2",IF(AND(R13="Probabilidad-impacto",S13=-1,K13=-4),"-3",IF(AND(R13="Probabilidad-impacto",S13=-2,K13=-3),"-1",IF(AND(R13="Probabilidad-impacto",S13=-1,K13=-3),"-2",IF(AND(R13="Probabilidad-impacto",S13=-2,K13=-2),"-1",IF(AND(R13="Probabilidad-impacto",S13=-1,K13=-2),"-1",IF(AND(R13="Probabilidad-impacto",S13=-2,K13=-1),"-1",IF(AND(R13="Probabilidad-impacto",S13=-1,K13=-1),"-1",K13)))))))))))))))))))))</f>
        <v>-2</v>
      </c>
      <c r="W13" s="192">
        <f>IF(AND(R13="Impacto",S13=0),L13,IF(AND(R13="Impacto",S13=2,L13=5),"5",IF(AND(R13="Impacto",S13=1,L13=5),"5",IF(AND(R13="Impacto",S13=2,L13=4),"5",IF(AND(R13="Impacto",S13=1,L13=4),"5",IF(AND(R13="Impacto",S13=2,L13=3),"5",IF(AND(R13="Impacto",S13=1,L13=3),"4",IF(AND(R13="Impacto",S13=2,L13=2),"4",IF(AND(R13="Impacto",S13=1,L13=2),"3",IF(AND(R13="Impacto",S13=2,L13=1),"3",IF(AND(R13="Impacto",S13=1,L13=1),"2",IF(AND(R13="Probabilidad-impacto",S13=2,L13=5),"5",IF(AND(R13="Probabilidad-impacto",S13=1,L13=5),"5",IF(AND(R13="Probabilidad-impacto",S13=2,L13=4),"5",IF(AND(R13="Probabilidad-impacto",S13=1,L13=4),"5",IF(AND(R13="Probabilidad-impacto",S13=2,L13=3),"5",IF(AND(R13="Probabilidad-impacto",S13=1,L13=3),"4",IF(AND(R13="Probabilidad-impacto",S13=2,L13=2),"4",IF(AND(R13="Probabilidad-impacto",S13=1,L13=2),"3",IF(AND(R13="Probabilidad-impacto",S13=2,L13=1),"3",IF(AND(R13="Probabilidad-impacto",S13=1,L13=1),"2",L13)))))))))))))))))))))</f>
        <v>-1</v>
      </c>
      <c r="X13" s="192">
        <f>IF(W13&gt;0,W13*1,V13*1)</f>
        <v>-2</v>
      </c>
      <c r="Y13" s="190" t="str">
        <f>IF(X13=-1,"-1 Muy bajo",IF(X13=-2,"-2 Bajo",IF(X13=-3,"-3 Medio",IF(X13=-4,"-4 Muy alto",IF(X13=-5,"-5 Muy alto",IF(X13=1,"1 Muy bajo",IF(X13=2,"2 Bajo",IF(X13=3,"3 Medio",IF(X13=4,"4 Muy alto",IF(X13=5,"5 Muy alto",0))))))))))</f>
        <v>-2 Bajo</v>
      </c>
      <c r="Z13" s="192">
        <f t="shared" si="9"/>
        <v>-4</v>
      </c>
      <c r="AA13" s="194" t="str">
        <f>IF(AND(U13="4 - Alto",Z13=-4),"MODERADO",VLOOKUP(Z13,[1]Parámetros!$B$20:$C$70,2,FALSE))</f>
        <v xml:space="preserve">BAJO </v>
      </c>
      <c r="AB13" s="201"/>
      <c r="AC13" s="201"/>
      <c r="AD13" s="201"/>
      <c r="AE13" s="201"/>
      <c r="AF13" s="201"/>
      <c r="AG13" s="201"/>
      <c r="AH13" s="201"/>
      <c r="AI13" s="201"/>
      <c r="AJ13" s="201"/>
      <c r="AK13" s="184"/>
      <c r="AL13" s="184"/>
      <c r="AM13" s="184"/>
      <c r="AN13" s="184"/>
      <c r="AO13" s="184"/>
    </row>
    <row r="14" spans="1:41" ht="147" customHeight="1" x14ac:dyDescent="0.35">
      <c r="A14" s="195">
        <v>4</v>
      </c>
      <c r="B14" s="195" t="s">
        <v>506</v>
      </c>
      <c r="C14" s="198" t="s">
        <v>609</v>
      </c>
      <c r="D14" s="198" t="s">
        <v>610</v>
      </c>
      <c r="E14" s="186" t="s">
        <v>611</v>
      </c>
      <c r="F14" s="188" t="s">
        <v>532</v>
      </c>
      <c r="G14" s="188" t="s">
        <v>612</v>
      </c>
      <c r="H14" s="188" t="s">
        <v>592</v>
      </c>
      <c r="I14" s="188" t="s">
        <v>613</v>
      </c>
      <c r="J14" s="188" t="s">
        <v>614</v>
      </c>
      <c r="K14" s="188">
        <f>MIN(LEFT(H14,2),LEFT(I14,2),LEFT(J14,2))</f>
        <v>-1</v>
      </c>
      <c r="L14" s="188">
        <f>MAX(LEFT(H14,2),LEFT(I14,2),LEFT(J14,2))</f>
        <v>0</v>
      </c>
      <c r="M14" s="188">
        <f t="shared" si="2"/>
        <v>-2</v>
      </c>
      <c r="N14" s="193" t="str">
        <f>IF(AND(G14="4 - Alto",M14=-4),"MODERADO",VLOOKUP(M14,[1]Parámetros!$B$20:$C$70,2,FALSE))</f>
        <v xml:space="preserve">BAJO </v>
      </c>
      <c r="O14" s="188" t="s">
        <v>706</v>
      </c>
      <c r="P14" s="188" t="s">
        <v>517</v>
      </c>
      <c r="Q14" s="186" t="s">
        <v>615</v>
      </c>
      <c r="R14" s="188" t="s">
        <v>510</v>
      </c>
      <c r="S14" s="195">
        <v>-1</v>
      </c>
      <c r="T14" s="188" t="s">
        <v>508</v>
      </c>
      <c r="U14" s="195" t="str">
        <f t="shared" ref="U14:U26" si="10">+IF(AND(R14="Probabilidad",S14=0),G14,IF(AND(R14="Probabilidad",S14=-1,G14="5 - Muy alto"),"4 - alto",IF(AND(R14="Probabilidad",S14=-2,G14="5 - Muy alto"),"3 - Medio",IF(AND(R14="Probabilidad",S14=-1,G14="4 - Alto"),"3 - Medio",IF(AND(R14="Probabilidad",S14=-2,G14="4 - Alto"),"2 - Bajo",IF(AND(R14="Probabilidad",S14=-1,G14="3 - Medio"),"2 - Bajo",IF(AND(R14="Probabilidad",S14=-2,G14="3 - Medio"),"1 - Muy bajo",IF(AND(R14="Probabilidad",S14=-1,G14="2 - Bajo"),"1 - Muy bajo",IF(AND(R14="Probabilidad",S14=-2,G14="2 - Bajo"),"1 - Muy bajo",IF(AND(R14="Probabilidad",S14=-1,G14="1 - Muy bajo"),"1 - Muy bajo",IF(AND(R14="Probabilidad",S14=-2,G14="1 - Muy bajo"),"1 - Muy bajo",IF(AND(R14="Probabilidad-impacto",S14=-2,G14="5 - Muy alto"),"3 - Medio",IF(AND(R14="Probabilidad-impacto",S14=-1,G14="5 - Muy alto"),"4 - Alto",IF(AND(R14="Probabilidad-impacto",S14=-2,G14="4 - Alto"),"2 - Bajo",IF(AND(R14="Probabilidad-impacto",S14=-1,G14="4 - Alto"),"3 - Medio",IF(AND(R14="Probabilidad-impacto",S14=-2,G14="3 - Medio"),"1 - Muy bajo",IF(AND(R14="Probabilidad-impacto",S14=-1,G14="3 - Medio"),"2 - Bajo",IF(AND(R14="Probabilidad-impacto",S14=-2,G14="2 - Bajo"),"1 - Muy bajo",IF(AND(R14="Probabilidad-impacto",S14=-1,G14="2 - Bajo"),"1 - Muy bajo",IF(AND(R14="Probabilidad-impacto",S14=-2,G14="1 - Muy bajo"),"1 - Muy bajo",IF(AND(R14="Probabilidad-impacto",S14=-1,G14="1 - Muy bajo"),"1 - Muy bajo",IF(AND(R14="Probabilidad",S14=1,G14="5 - Muy alto"),"5 - Muy alto",IF(AND(R14="Probabilidad",S14=2,G14="5 - Muy alto"),"5 - Muy alto",IF(AND(R14="Probabilidad",S14=1,G14="4 - Alto"),"5 - Muy alto",IF(AND(R14="Probabilidad",S14=2,G14="4 - Alto"),"5 - Muy alto",IF(AND(R14="Probabilidad",S14=1,G14="3 - Medio"),"4 - Alto",IF(AND(R14="Probabilidad",S14=2,G14="3 - Medio"),"5 - Muy alto",IF(AND(R14="Probabilidad",S14=1,G14="2 - Bajo"),"3 - Medio",IF(AND(R14="Probabilidad",S14=2,G14="2 - Bajo"),"4 - Alto",IF(AND(R14="Probabilidad",S14=1,G14="1 - Muy bajo"),"2 - Bajo",IF(AND(R14="Probabilidad",S14=2,G14="1 - Muy bajo"),"3 - Medio",IF(AND(R14="Probabilidad-impacto",S14=2,G14="5 - Muy alto"),"5 - Muy alto",IF(AND(R14="Probabilidad-impacto",S14=1,G14="5 - Muy alto"),"5 - Muy alto",IF(AND(R14="Probabilidad-impacto",S14=2,G14="4 - Alto"),"5 - Muy alto",IF(AND(R14="Probabilidad-impacto",S14=1,G14="4 - Alto"),"5 - Muy alto",IF(AND(R14="Probabilidad-impacto",S14=2,G14="3 - Medio"),"5 - Muy alto",IF(AND(R14="Probabilidad-impacto",S14=1,G14="3 - Medio"),"4 - Alto",IF(AND(R14="Probabilidad-impacto",S14=2,G14="2 - Bajo"),"4 - Alto",IF(AND(R14="Probabilidad-impacto",S14=1,G14="2 - Bajo"),"3 - Medio",IF(AND(R14="Probabilidad-impacto",S14=2,G14="1 - Muy bajo"),"3 - Medio",IF(AND(R14="Probabilidad-impacto",S14=1,G14="1 - Muy bajo"),"2 - Bajo",G14)))))))))))))))))))))))))))))))))))))))))</f>
        <v>1 - Muy bajo</v>
      </c>
      <c r="V14" s="188">
        <f t="shared" ref="V14:V26" si="11">IF(AND(R14="Impacto",S14=0),K14,IF(AND(R14="Impacto",S14=-2,K14=-5),"-3",IF(AND(R14="Impacto",S14=-1,K14=-5),"-4",IF(AND(R14="Impacto",S14=-2,K14=-4),"-2",IF(AND(R14="Impacto",S14=-1,K14=-4),"-3",IF(AND(R14="Impacto",S14=-2,K14=-3),"-1",IF(AND(R14="Impacto",S14=-1,K14=-3),"-2",IF(AND(R14="Impacto",S14=-2,K14=-2),"-1",IF(AND(R14="Impacto",S14=-1,K14=-2),"-1",IF(AND(R14="Impacto",S14=-2,K14=-1),"-1",IF(AND(R14="Impacto",S14=-1,K14=-1),"-1",IF(AND(R14="Probabilidad-impacto",S14=-2,K14=-5),"-3",IF(AND(R14="Probabilidad-impacto",S14=-1,K14=-5),"-4",IF(AND(R14="Probabilidad-impacto",S14=-2,K14=-4),"-2",IF(AND(R14="Probabilidad-impacto",S14=-1,K14=-4),"-3",IF(AND(R14="Probabilidad-impacto",S14=-2,K14=-3),"-1",IF(AND(R14="Probabilidad-impacto",S14=-1,K14=-3),"-2",IF(AND(R14="Probabilidad-impacto",S14=-2,K14=-2),"-1",IF(AND(R14="Probabilidad-impacto",S14=-1,K14=-2),"-1",IF(AND(R14="Probabilidad-impacto",S14=-2,K14=-1),"-1",IF(AND(R14="Probabilidad-impacto",S14=-1,K14=-1),"-1",K14)))))))))))))))))))))</f>
        <v>-1</v>
      </c>
      <c r="W14" s="188">
        <f t="shared" ref="W14:W26" si="12">IF(AND(R14="Impacto",S14=0),L14,IF(AND(R14="Impacto",S14=2,L14=5),"5",IF(AND(R14="Impacto",S14=1,L14=5),"5",IF(AND(R14="Impacto",S14=2,L14=4),"5",IF(AND(R14="Impacto",S14=1,L14=4),"5",IF(AND(R14="Impacto",S14=2,L14=3),"5",IF(AND(R14="Impacto",S14=1,L14=3),"4",IF(AND(R14="Impacto",S14=2,L14=2),"4",IF(AND(R14="Impacto",S14=1,L14=2),"3",IF(AND(R14="Impacto",S14=2,L14=1),"3",IF(AND(R14="Impacto",S14=1,L14=1),"2",IF(AND(R14="Probabilidad-impacto",S14=2,L14=5),"5",IF(AND(R14="Probabilidad-impacto",S14=1,L14=5),"5",IF(AND(R14="Probabilidad-impacto",S14=2,L14=4),"5",IF(AND(R14="Probabilidad-impacto",S14=1,L14=4),"5",IF(AND(R14="Probabilidad-impacto",S14=2,L14=3),"5",IF(AND(R14="Probabilidad-impacto",S14=1,L14=3),"4",IF(AND(R14="Probabilidad-impacto",S14=2,L14=2),"4",IF(AND(R14="Probabilidad-impacto",S14=1,L14=2),"3",IF(AND(R14="Probabilidad-impacto",S14=2,L14=1),"3",IF(AND(R14="Probabilidad-impacto",S14=1,L14=1),"2",L14)))))))))))))))))))))</f>
        <v>0</v>
      </c>
      <c r="X14" s="188">
        <f t="shared" ref="X14:X26" si="13">IF(W14&gt;0,W14*1,V14*1)</f>
        <v>-1</v>
      </c>
      <c r="Y14" s="195" t="str">
        <f t="shared" ref="Y14:Y26" si="14">IF(X14=-1,"-1 Muy bajo",IF(X14=-2,"-2 Bajo",IF(X14=-3,"-3 Medio",IF(X14=-4,"-4 Muy alto",IF(X14=-5,"-5 Muy alto",IF(X14=1,"1 Muy bajo",IF(X14=2,"2 Bajo",IF(X14=3,"3 Medio",IF(X14=4,"4 Muy alto",IF(X14=5,"5 Muy alto",0))))))))))</f>
        <v>-1 Muy bajo</v>
      </c>
      <c r="Z14" s="188">
        <f t="shared" si="9"/>
        <v>-1</v>
      </c>
      <c r="AA14" s="194" t="str">
        <f>IF(AND(U14="4 - Alto",Z14=-4),"MODERADO",VLOOKUP(Z14,[1]Parámetros!$B$20:$C$70,2,FALSE))</f>
        <v xml:space="preserve">BAJO </v>
      </c>
      <c r="AB14" s="201"/>
      <c r="AC14" s="201"/>
      <c r="AD14" s="201"/>
      <c r="AE14" s="201"/>
      <c r="AF14" s="201"/>
      <c r="AG14" s="201"/>
      <c r="AH14" s="201"/>
      <c r="AI14" s="201"/>
      <c r="AJ14" s="201"/>
      <c r="AK14" s="184"/>
      <c r="AL14" s="184"/>
      <c r="AM14" s="184"/>
      <c r="AN14" s="184"/>
      <c r="AO14" s="184"/>
    </row>
    <row r="15" spans="1:41" ht="73.5" customHeight="1" x14ac:dyDescent="0.35">
      <c r="A15" s="190">
        <v>5</v>
      </c>
      <c r="B15" s="190" t="s">
        <v>506</v>
      </c>
      <c r="C15" s="196" t="s">
        <v>616</v>
      </c>
      <c r="D15" s="226" t="s">
        <v>617</v>
      </c>
      <c r="E15" s="196" t="s">
        <v>618</v>
      </c>
      <c r="F15" s="192" t="s">
        <v>532</v>
      </c>
      <c r="G15" s="192" t="s">
        <v>599</v>
      </c>
      <c r="H15" s="192" t="s">
        <v>600</v>
      </c>
      <c r="I15" s="192" t="s">
        <v>601</v>
      </c>
      <c r="J15" s="192" t="s">
        <v>594</v>
      </c>
      <c r="K15" s="192">
        <f t="shared" ref="K15:K26" si="15">MIN(LEFT(H15,2),LEFT(I15,2),LEFT(J15,2))</f>
        <v>-3</v>
      </c>
      <c r="L15" s="192">
        <f t="shared" ref="L15:L26" si="16">MAX(LEFT(H15,2),LEFT(I15,2),LEFT(J15,2))</f>
        <v>-1</v>
      </c>
      <c r="M15" s="192">
        <f t="shared" si="2"/>
        <v>-12</v>
      </c>
      <c r="N15" s="193" t="str">
        <f>IF(AND(G15="4 - Alto",M15=-4),"MODERADO",VLOOKUP(M15,[1]Parámetros!$B$20:$C$70,2,FALSE))</f>
        <v>ALTO</v>
      </c>
      <c r="O15" s="192" t="s">
        <v>400</v>
      </c>
      <c r="P15" s="192" t="s">
        <v>529</v>
      </c>
      <c r="Q15" s="196" t="s">
        <v>619</v>
      </c>
      <c r="R15" s="192" t="s">
        <v>518</v>
      </c>
      <c r="S15" s="190">
        <v>-1</v>
      </c>
      <c r="T15" s="192" t="s">
        <v>400</v>
      </c>
      <c r="U15" s="190" t="str">
        <f t="shared" si="10"/>
        <v>3 - Medio</v>
      </c>
      <c r="V15" s="192" t="str">
        <f t="shared" si="11"/>
        <v>-2</v>
      </c>
      <c r="W15" s="192">
        <f t="shared" si="12"/>
        <v>-1</v>
      </c>
      <c r="X15" s="192">
        <f t="shared" si="13"/>
        <v>-2</v>
      </c>
      <c r="Y15" s="190" t="str">
        <f t="shared" si="14"/>
        <v>-2 Bajo</v>
      </c>
      <c r="Z15" s="192">
        <f t="shared" si="9"/>
        <v>-6</v>
      </c>
      <c r="AA15" s="185" t="str">
        <f>IF(AND(U15="4 - Alto",Z15=-4),"MODERADO",VLOOKUP(Z15,[1]Parámetros!$B$20:$C$70,2,FALSE))</f>
        <v xml:space="preserve">MODERADO </v>
      </c>
      <c r="AB15" s="201"/>
      <c r="AC15" s="201"/>
      <c r="AD15" s="201"/>
      <c r="AE15" s="201"/>
      <c r="AF15" s="201"/>
      <c r="AG15" s="201"/>
      <c r="AH15" s="201"/>
      <c r="AI15" s="201"/>
      <c r="AJ15" s="201"/>
      <c r="AK15" s="184"/>
      <c r="AL15" s="184"/>
      <c r="AM15" s="184"/>
      <c r="AN15" s="184"/>
      <c r="AO15" s="184"/>
    </row>
    <row r="16" spans="1:41" ht="76" x14ac:dyDescent="0.35">
      <c r="A16" s="185">
        <v>6</v>
      </c>
      <c r="B16" s="195" t="s">
        <v>506</v>
      </c>
      <c r="C16" s="186" t="s">
        <v>620</v>
      </c>
      <c r="D16" s="186" t="s">
        <v>621</v>
      </c>
      <c r="E16" s="186" t="s">
        <v>622</v>
      </c>
      <c r="F16" s="188" t="s">
        <v>535</v>
      </c>
      <c r="G16" s="195" t="s">
        <v>591</v>
      </c>
      <c r="H16" s="188" t="s">
        <v>592</v>
      </c>
      <c r="I16" s="188" t="s">
        <v>593</v>
      </c>
      <c r="J16" s="188" t="s">
        <v>594</v>
      </c>
      <c r="K16" s="188">
        <f t="shared" si="15"/>
        <v>-2</v>
      </c>
      <c r="L16" s="188">
        <f t="shared" si="16"/>
        <v>-1</v>
      </c>
      <c r="M16" s="188">
        <f t="shared" si="2"/>
        <v>-4</v>
      </c>
      <c r="N16" s="193" t="str">
        <f>IF(AND(G16="4 - Alto",M16=-4),"MODERADO",VLOOKUP(M16,[1]Parámetros!$B$20:$C$70,2,FALSE))</f>
        <v xml:space="preserve">BAJO </v>
      </c>
      <c r="O16" s="189" t="s">
        <v>289</v>
      </c>
      <c r="P16" s="188" t="s">
        <v>521</v>
      </c>
      <c r="Q16" s="225" t="s">
        <v>623</v>
      </c>
      <c r="R16" s="188" t="s">
        <v>518</v>
      </c>
      <c r="S16" s="195">
        <v>-1</v>
      </c>
      <c r="T16" s="189" t="s">
        <v>400</v>
      </c>
      <c r="U16" s="185" t="str">
        <f t="shared" si="10"/>
        <v>2 - Medio</v>
      </c>
      <c r="V16" s="189" t="str">
        <f t="shared" si="11"/>
        <v>-1</v>
      </c>
      <c r="W16" s="189">
        <f t="shared" si="12"/>
        <v>-1</v>
      </c>
      <c r="X16" s="189">
        <f t="shared" si="13"/>
        <v>-1</v>
      </c>
      <c r="Y16" s="185" t="str">
        <f t="shared" si="14"/>
        <v>-1 Muy bajo</v>
      </c>
      <c r="Z16" s="189">
        <f t="shared" si="9"/>
        <v>-2</v>
      </c>
      <c r="AA16" s="185" t="str">
        <f>IF(AND(U16="4 - Alto",Z16=-4),"MODERADO",VLOOKUP(Z16,[1]Parámetros!$B$20:$C$70,2,FALSE))</f>
        <v xml:space="preserve">BAJO </v>
      </c>
      <c r="AB16" s="201"/>
      <c r="AC16" s="201"/>
      <c r="AD16" s="201"/>
      <c r="AE16" s="201"/>
      <c r="AF16" s="201"/>
      <c r="AG16" s="201"/>
      <c r="AH16" s="201"/>
      <c r="AI16" s="201"/>
      <c r="AJ16" s="201"/>
      <c r="AK16" s="184"/>
      <c r="AL16" s="184"/>
      <c r="AM16" s="184"/>
      <c r="AN16" s="184"/>
      <c r="AO16" s="184"/>
    </row>
    <row r="17" spans="1:41" ht="159.75" customHeight="1" x14ac:dyDescent="0.35">
      <c r="A17" s="190">
        <v>7</v>
      </c>
      <c r="B17" s="190" t="s">
        <v>511</v>
      </c>
      <c r="C17" s="196" t="s">
        <v>624</v>
      </c>
      <c r="D17" s="196" t="s">
        <v>625</v>
      </c>
      <c r="E17" s="224" t="s">
        <v>626</v>
      </c>
      <c r="F17" s="192" t="s">
        <v>532</v>
      </c>
      <c r="G17" s="190" t="s">
        <v>599</v>
      </c>
      <c r="H17" s="192" t="s">
        <v>667</v>
      </c>
      <c r="I17" s="192" t="s">
        <v>593</v>
      </c>
      <c r="J17" s="192" t="s">
        <v>693</v>
      </c>
      <c r="K17" s="192">
        <f t="shared" si="15"/>
        <v>-3</v>
      </c>
      <c r="L17" s="192">
        <f t="shared" si="16"/>
        <v>-2</v>
      </c>
      <c r="M17" s="192">
        <f t="shared" si="2"/>
        <v>-12</v>
      </c>
      <c r="N17" s="193" t="str">
        <f>IF(AND(G17="4 - Alto",M17=-4),"MODERADO",VLOOKUP(M17,[1]Parámetros!$B$20:$C$70,2,FALSE))</f>
        <v>ALTO</v>
      </c>
      <c r="O17" s="192" t="s">
        <v>400</v>
      </c>
      <c r="P17" s="192" t="s">
        <v>529</v>
      </c>
      <c r="Q17" s="196" t="s">
        <v>627</v>
      </c>
      <c r="R17" s="192" t="s">
        <v>510</v>
      </c>
      <c r="S17" s="190">
        <v>-1</v>
      </c>
      <c r="T17" s="192" t="s">
        <v>400</v>
      </c>
      <c r="U17" s="190" t="str">
        <f t="shared" si="10"/>
        <v>3 - Medio</v>
      </c>
      <c r="V17" s="192">
        <f t="shared" si="11"/>
        <v>-3</v>
      </c>
      <c r="W17" s="192">
        <f t="shared" si="12"/>
        <v>-2</v>
      </c>
      <c r="X17" s="192">
        <f t="shared" si="13"/>
        <v>-3</v>
      </c>
      <c r="Y17" s="190" t="str">
        <f t="shared" si="14"/>
        <v>-3 Medio</v>
      </c>
      <c r="Z17" s="192">
        <f t="shared" si="9"/>
        <v>-9</v>
      </c>
      <c r="AA17" s="194" t="str">
        <f>IF(AND(U17="4 - Alto",Z17=-4),"MODERADO",VLOOKUP(Z17,[1]Parámetros!$B$20:$C$70,2,FALSE))</f>
        <v xml:space="preserve">MODERADO </v>
      </c>
      <c r="AB17" s="201"/>
      <c r="AC17" s="201"/>
      <c r="AD17" s="201"/>
      <c r="AE17" s="201"/>
      <c r="AF17" s="201"/>
      <c r="AG17" s="201"/>
      <c r="AH17" s="201"/>
      <c r="AI17" s="201"/>
      <c r="AJ17" s="201"/>
      <c r="AK17" s="184"/>
      <c r="AL17" s="184"/>
      <c r="AM17" s="184"/>
      <c r="AN17" s="184"/>
      <c r="AO17" s="184"/>
    </row>
    <row r="18" spans="1:41" ht="132.75" customHeight="1" x14ac:dyDescent="0.35">
      <c r="A18" s="185">
        <v>8</v>
      </c>
      <c r="B18" s="185" t="s">
        <v>515</v>
      </c>
      <c r="C18" s="187" t="s">
        <v>628</v>
      </c>
      <c r="D18" s="187" t="s">
        <v>629</v>
      </c>
      <c r="E18" s="187" t="s">
        <v>630</v>
      </c>
      <c r="F18" s="189" t="s">
        <v>535</v>
      </c>
      <c r="G18" s="189" t="s">
        <v>599</v>
      </c>
      <c r="H18" s="189" t="s">
        <v>600</v>
      </c>
      <c r="I18" s="189" t="s">
        <v>601</v>
      </c>
      <c r="J18" s="189" t="s">
        <v>594</v>
      </c>
      <c r="K18" s="189">
        <f t="shared" si="15"/>
        <v>-3</v>
      </c>
      <c r="L18" s="189">
        <f t="shared" si="16"/>
        <v>-1</v>
      </c>
      <c r="M18" s="189">
        <f t="shared" si="2"/>
        <v>-12</v>
      </c>
      <c r="N18" s="193" t="str">
        <f>IF(AND(G18="4 - Alto",M18=-4),"MODERADO",VLOOKUP(M18,[1]Parámetros!$B$20:$C$70,2,FALSE))</f>
        <v>ALTO</v>
      </c>
      <c r="O18" s="189" t="s">
        <v>289</v>
      </c>
      <c r="P18" s="189" t="s">
        <v>521</v>
      </c>
      <c r="Q18" s="187" t="s">
        <v>631</v>
      </c>
      <c r="R18" s="189" t="s">
        <v>514</v>
      </c>
      <c r="S18" s="185">
        <v>-1</v>
      </c>
      <c r="T18" s="189" t="s">
        <v>289</v>
      </c>
      <c r="U18" s="185" t="str">
        <f t="shared" si="10"/>
        <v>4 - Alto</v>
      </c>
      <c r="V18" s="189" t="str">
        <f t="shared" si="11"/>
        <v>-2</v>
      </c>
      <c r="W18" s="189">
        <f t="shared" si="12"/>
        <v>-1</v>
      </c>
      <c r="X18" s="189">
        <f t="shared" si="13"/>
        <v>-2</v>
      </c>
      <c r="Y18" s="185" t="str">
        <f t="shared" si="14"/>
        <v>-2 Bajo</v>
      </c>
      <c r="Z18" s="189">
        <f t="shared" si="9"/>
        <v>-8</v>
      </c>
      <c r="AA18" s="185" t="str">
        <f>IF(AND(U18="4 - Alto",Z18=-4),"MODERADO",VLOOKUP(Z18,[1]Parámetros!$B$20:$C$70,2,FALSE))</f>
        <v xml:space="preserve">MODERADO </v>
      </c>
      <c r="AB18" s="201"/>
      <c r="AC18" s="201"/>
      <c r="AD18" s="201"/>
      <c r="AE18" s="201"/>
      <c r="AF18" s="201"/>
      <c r="AG18" s="201"/>
      <c r="AH18" s="201"/>
      <c r="AI18" s="201"/>
      <c r="AJ18" s="201"/>
      <c r="AK18" s="184"/>
      <c r="AL18" s="184"/>
      <c r="AM18" s="184"/>
      <c r="AN18" s="184"/>
      <c r="AO18" s="184"/>
    </row>
    <row r="19" spans="1:41" ht="171" customHeight="1" x14ac:dyDescent="0.35">
      <c r="A19" s="190">
        <v>9</v>
      </c>
      <c r="B19" s="190" t="s">
        <v>515</v>
      </c>
      <c r="C19" s="197" t="s">
        <v>632</v>
      </c>
      <c r="D19" s="197" t="s">
        <v>633</v>
      </c>
      <c r="E19" s="196" t="s">
        <v>634</v>
      </c>
      <c r="F19" s="192" t="s">
        <v>535</v>
      </c>
      <c r="G19" s="192" t="s">
        <v>599</v>
      </c>
      <c r="H19" s="192" t="s">
        <v>600</v>
      </c>
      <c r="I19" s="192" t="s">
        <v>601</v>
      </c>
      <c r="J19" s="192" t="s">
        <v>594</v>
      </c>
      <c r="K19" s="192">
        <f t="shared" si="15"/>
        <v>-3</v>
      </c>
      <c r="L19" s="192">
        <f t="shared" si="16"/>
        <v>-1</v>
      </c>
      <c r="M19" s="192">
        <f t="shared" si="2"/>
        <v>-12</v>
      </c>
      <c r="N19" s="188" t="str">
        <f>IF(AND(G19="4 - Alto",M19=-4),"MODERADO",VLOOKUP(M19,[1]Parámetros!$B$20:$C$70,2,FALSE))</f>
        <v>ALTO</v>
      </c>
      <c r="O19" s="192" t="s">
        <v>289</v>
      </c>
      <c r="P19" s="192" t="s">
        <v>521</v>
      </c>
      <c r="Q19" s="196" t="s">
        <v>635</v>
      </c>
      <c r="R19" s="192" t="s">
        <v>514</v>
      </c>
      <c r="S19" s="190">
        <v>-1</v>
      </c>
      <c r="T19" s="192" t="s">
        <v>289</v>
      </c>
      <c r="U19" s="190" t="str">
        <f t="shared" si="10"/>
        <v>4 - Alto</v>
      </c>
      <c r="V19" s="192" t="str">
        <f t="shared" si="11"/>
        <v>-2</v>
      </c>
      <c r="W19" s="192">
        <f t="shared" si="12"/>
        <v>-1</v>
      </c>
      <c r="X19" s="192">
        <f t="shared" si="13"/>
        <v>-2</v>
      </c>
      <c r="Y19" s="190" t="str">
        <f t="shared" si="14"/>
        <v>-2 Bajo</v>
      </c>
      <c r="Z19" s="192">
        <f t="shared" si="9"/>
        <v>-8</v>
      </c>
      <c r="AA19" s="185" t="str">
        <f>IF(AND(U19="4 - Alto",Z19=-4),"MODERADO",VLOOKUP(Z19,[1]Parámetros!$B$20:$C$70,2,FALSE))</f>
        <v xml:space="preserve">MODERADO </v>
      </c>
      <c r="AB19" s="201"/>
      <c r="AC19" s="201"/>
      <c r="AD19" s="201"/>
      <c r="AE19" s="201"/>
      <c r="AF19" s="201"/>
      <c r="AG19" s="201"/>
      <c r="AH19" s="201"/>
      <c r="AI19" s="201"/>
      <c r="AJ19" s="201"/>
      <c r="AK19" s="184"/>
      <c r="AL19" s="184"/>
      <c r="AM19" s="184"/>
      <c r="AN19" s="184"/>
      <c r="AO19" s="184"/>
    </row>
    <row r="20" spans="1:41" ht="75" x14ac:dyDescent="0.35">
      <c r="A20" s="185">
        <v>10</v>
      </c>
      <c r="B20" s="185" t="s">
        <v>515</v>
      </c>
      <c r="C20" s="187" t="s">
        <v>636</v>
      </c>
      <c r="D20" s="187" t="s">
        <v>637</v>
      </c>
      <c r="E20" s="187" t="s">
        <v>638</v>
      </c>
      <c r="F20" s="189" t="s">
        <v>535</v>
      </c>
      <c r="G20" s="189" t="s">
        <v>599</v>
      </c>
      <c r="H20" s="189" t="s">
        <v>600</v>
      </c>
      <c r="I20" s="189" t="s">
        <v>601</v>
      </c>
      <c r="J20" s="189" t="s">
        <v>594</v>
      </c>
      <c r="K20" s="189">
        <f t="shared" si="15"/>
        <v>-3</v>
      </c>
      <c r="L20" s="189">
        <f t="shared" si="16"/>
        <v>-1</v>
      </c>
      <c r="M20" s="189">
        <f t="shared" si="2"/>
        <v>-12</v>
      </c>
      <c r="N20" s="193" t="str">
        <f>IF(AND(G20="4 - Alto",M20=-4),"MODERADO",VLOOKUP(M20,[1]Parámetros!$B$20:$C$70,2,FALSE))</f>
        <v>ALTO</v>
      </c>
      <c r="O20" s="189" t="s">
        <v>400</v>
      </c>
      <c r="P20" s="189" t="s">
        <v>529</v>
      </c>
      <c r="Q20" s="187" t="s">
        <v>639</v>
      </c>
      <c r="R20" s="189" t="s">
        <v>514</v>
      </c>
      <c r="S20" s="185">
        <v>-1</v>
      </c>
      <c r="T20" s="189" t="s">
        <v>400</v>
      </c>
      <c r="U20" s="185" t="str">
        <f t="shared" si="10"/>
        <v>4 - Alto</v>
      </c>
      <c r="V20" s="189" t="str">
        <f t="shared" si="11"/>
        <v>-2</v>
      </c>
      <c r="W20" s="189">
        <f t="shared" si="12"/>
        <v>-1</v>
      </c>
      <c r="X20" s="189">
        <f t="shared" si="13"/>
        <v>-2</v>
      </c>
      <c r="Y20" s="185" t="str">
        <f t="shared" si="14"/>
        <v>-2 Bajo</v>
      </c>
      <c r="Z20" s="189">
        <f t="shared" si="9"/>
        <v>-8</v>
      </c>
      <c r="AA20" s="185" t="str">
        <f>IF(AND(U20="4 - Alto",Z20=-4),"MODERADO",VLOOKUP(Z20,[1]Parámetros!$B$20:$C$70,2,FALSE))</f>
        <v xml:space="preserve">MODERADO </v>
      </c>
      <c r="AB20" s="201"/>
      <c r="AC20" s="201"/>
      <c r="AD20" s="201"/>
      <c r="AE20" s="201"/>
      <c r="AF20" s="201"/>
      <c r="AG20" s="201"/>
      <c r="AH20" s="201"/>
      <c r="AI20" s="201"/>
      <c r="AJ20" s="201"/>
      <c r="AK20" s="184"/>
      <c r="AL20" s="184"/>
      <c r="AM20" s="184"/>
      <c r="AN20" s="184"/>
      <c r="AO20" s="184"/>
    </row>
    <row r="21" spans="1:41" ht="203.25" customHeight="1" x14ac:dyDescent="0.35">
      <c r="A21" s="190">
        <v>11</v>
      </c>
      <c r="B21" s="190" t="s">
        <v>515</v>
      </c>
      <c r="C21" s="196" t="s">
        <v>640</v>
      </c>
      <c r="D21" s="196" t="s">
        <v>641</v>
      </c>
      <c r="E21" s="196" t="s">
        <v>642</v>
      </c>
      <c r="F21" s="192" t="s">
        <v>532</v>
      </c>
      <c r="G21" s="192" t="s">
        <v>599</v>
      </c>
      <c r="H21" s="192" t="s">
        <v>600</v>
      </c>
      <c r="I21" s="192" t="s">
        <v>601</v>
      </c>
      <c r="J21" s="192" t="s">
        <v>594</v>
      </c>
      <c r="K21" s="192">
        <f t="shared" si="15"/>
        <v>-3</v>
      </c>
      <c r="L21" s="192">
        <f t="shared" si="16"/>
        <v>-1</v>
      </c>
      <c r="M21" s="192">
        <f t="shared" si="2"/>
        <v>-12</v>
      </c>
      <c r="N21" s="193" t="str">
        <f>IF(AND(G21="4 - Alto",M21=-4),"MODERADO",VLOOKUP(M21,[1]Parámetros!$B$20:$C$70,2,FALSE))</f>
        <v>ALTO</v>
      </c>
      <c r="O21" s="192" t="s">
        <v>400</v>
      </c>
      <c r="P21" s="192" t="s">
        <v>529</v>
      </c>
      <c r="Q21" s="196" t="s">
        <v>643</v>
      </c>
      <c r="R21" s="192" t="s">
        <v>518</v>
      </c>
      <c r="S21" s="190">
        <v>-1</v>
      </c>
      <c r="T21" s="192" t="s">
        <v>400</v>
      </c>
      <c r="U21" s="190" t="str">
        <f t="shared" si="10"/>
        <v>3 - Medio</v>
      </c>
      <c r="V21" s="192" t="str">
        <f t="shared" si="11"/>
        <v>-2</v>
      </c>
      <c r="W21" s="192">
        <f t="shared" si="12"/>
        <v>-1</v>
      </c>
      <c r="X21" s="192">
        <f t="shared" si="13"/>
        <v>-2</v>
      </c>
      <c r="Y21" s="190" t="str">
        <f t="shared" si="14"/>
        <v>-2 Bajo</v>
      </c>
      <c r="Z21" s="192">
        <f t="shared" si="9"/>
        <v>-6</v>
      </c>
      <c r="AA21" s="185" t="str">
        <f>IF(AND(U21="4 - Alto",Z21=-4),"MODERADO",VLOOKUP(Z21,[1]Parámetros!$B$20:$C$70,2,FALSE))</f>
        <v xml:space="preserve">MODERADO </v>
      </c>
      <c r="AB21" s="201"/>
      <c r="AC21" s="201"/>
      <c r="AD21" s="201"/>
      <c r="AE21" s="201"/>
      <c r="AF21" s="201"/>
      <c r="AG21" s="201"/>
      <c r="AH21" s="201"/>
      <c r="AI21" s="201"/>
      <c r="AJ21" s="201"/>
      <c r="AK21" s="184"/>
      <c r="AL21" s="184"/>
      <c r="AM21" s="184"/>
      <c r="AN21" s="184"/>
      <c r="AO21" s="184"/>
    </row>
    <row r="22" spans="1:41" ht="102" customHeight="1" x14ac:dyDescent="0.35">
      <c r="A22" s="185">
        <v>12</v>
      </c>
      <c r="B22" s="185" t="s">
        <v>515</v>
      </c>
      <c r="C22" s="227" t="s">
        <v>644</v>
      </c>
      <c r="D22" s="227" t="s">
        <v>645</v>
      </c>
      <c r="E22" s="187" t="s">
        <v>646</v>
      </c>
      <c r="F22" s="189" t="s">
        <v>532</v>
      </c>
      <c r="G22" s="189" t="s">
        <v>599</v>
      </c>
      <c r="H22" s="189" t="s">
        <v>600</v>
      </c>
      <c r="I22" s="189" t="s">
        <v>601</v>
      </c>
      <c r="J22" s="189" t="s">
        <v>594</v>
      </c>
      <c r="K22" s="189">
        <f t="shared" si="15"/>
        <v>-3</v>
      </c>
      <c r="L22" s="189">
        <f t="shared" si="16"/>
        <v>-1</v>
      </c>
      <c r="M22" s="189">
        <f t="shared" si="2"/>
        <v>-12</v>
      </c>
      <c r="N22" s="188" t="str">
        <f>IF(AND(G22="4 - Alto",M22=-4),"MODERADO",VLOOKUP(M22,[1]Parámetros!$B$20:$C$70,2,FALSE))</f>
        <v>ALTO</v>
      </c>
      <c r="O22" s="189" t="s">
        <v>400</v>
      </c>
      <c r="P22" s="189" t="s">
        <v>524</v>
      </c>
      <c r="Q22" s="187" t="s">
        <v>647</v>
      </c>
      <c r="R22" s="189" t="s">
        <v>514</v>
      </c>
      <c r="S22" s="185">
        <v>-1</v>
      </c>
      <c r="T22" s="189" t="s">
        <v>400</v>
      </c>
      <c r="U22" s="185" t="str">
        <f t="shared" si="10"/>
        <v>4 - Alto</v>
      </c>
      <c r="V22" s="189" t="str">
        <f t="shared" si="11"/>
        <v>-2</v>
      </c>
      <c r="W22" s="189">
        <f t="shared" si="12"/>
        <v>-1</v>
      </c>
      <c r="X22" s="189">
        <f t="shared" si="13"/>
        <v>-2</v>
      </c>
      <c r="Y22" s="185" t="str">
        <f t="shared" si="14"/>
        <v>-2 Bajo</v>
      </c>
      <c r="Z22" s="189">
        <f t="shared" si="9"/>
        <v>-8</v>
      </c>
      <c r="AA22" s="185" t="str">
        <f>IF(AND(U22="4 - Alto",Z22=-4),"MODERADO",VLOOKUP(Z22,[1]Parámetros!$B$20:$C$70,2,FALSE))</f>
        <v xml:space="preserve">MODERADO </v>
      </c>
      <c r="AB22" s="201"/>
      <c r="AC22" s="201"/>
      <c r="AD22" s="201"/>
      <c r="AE22" s="201"/>
      <c r="AF22" s="201"/>
      <c r="AG22" s="201"/>
      <c r="AH22" s="201"/>
      <c r="AI22" s="201"/>
      <c r="AJ22" s="201"/>
      <c r="AK22" s="184"/>
      <c r="AL22" s="184"/>
      <c r="AM22" s="184"/>
      <c r="AN22" s="184"/>
      <c r="AO22" s="184"/>
    </row>
    <row r="23" spans="1:41" s="3" customFormat="1" ht="83.25" customHeight="1" x14ac:dyDescent="0.25">
      <c r="A23" s="190">
        <v>13</v>
      </c>
      <c r="B23" s="190" t="s">
        <v>515</v>
      </c>
      <c r="C23" s="197" t="s">
        <v>648</v>
      </c>
      <c r="D23" s="197" t="s">
        <v>649</v>
      </c>
      <c r="E23" s="196" t="s">
        <v>650</v>
      </c>
      <c r="F23" s="192" t="s">
        <v>532</v>
      </c>
      <c r="G23" s="192" t="s">
        <v>599</v>
      </c>
      <c r="H23" s="192" t="s">
        <v>600</v>
      </c>
      <c r="I23" s="192" t="s">
        <v>601</v>
      </c>
      <c r="J23" s="192" t="s">
        <v>594</v>
      </c>
      <c r="K23" s="192">
        <f t="shared" si="15"/>
        <v>-3</v>
      </c>
      <c r="L23" s="192">
        <f t="shared" si="16"/>
        <v>-1</v>
      </c>
      <c r="M23" s="192">
        <f t="shared" si="2"/>
        <v>-12</v>
      </c>
      <c r="N23" s="188" t="str">
        <f>IF(AND(G23="4 - Alto",M23=-4),"MODERADO",VLOOKUP(M23,[1]Parámetros!$B$20:$C$70,2,FALSE))</f>
        <v>ALTO</v>
      </c>
      <c r="O23" s="192" t="s">
        <v>400</v>
      </c>
      <c r="P23" s="192" t="s">
        <v>524</v>
      </c>
      <c r="Q23" s="196" t="s">
        <v>651</v>
      </c>
      <c r="R23" s="192" t="s">
        <v>514</v>
      </c>
      <c r="S23" s="190">
        <v>-1</v>
      </c>
      <c r="T23" s="192" t="s">
        <v>400</v>
      </c>
      <c r="U23" s="190" t="str">
        <f t="shared" si="10"/>
        <v>4 - Alto</v>
      </c>
      <c r="V23" s="192" t="str">
        <f t="shared" si="11"/>
        <v>-2</v>
      </c>
      <c r="W23" s="192">
        <f t="shared" si="12"/>
        <v>-1</v>
      </c>
      <c r="X23" s="192">
        <f t="shared" si="13"/>
        <v>-2</v>
      </c>
      <c r="Y23" s="190" t="str">
        <f t="shared" si="14"/>
        <v>-2 Bajo</v>
      </c>
      <c r="Z23" s="192">
        <f t="shared" si="9"/>
        <v>-8</v>
      </c>
      <c r="AA23" s="185" t="str">
        <f>IF(AND(U23="4 - Alto",Z23=-4),"MODERADO",VLOOKUP(Z23,[1]Parámetros!$B$20:$C$70,2,FALSE))</f>
        <v xml:space="preserve">MODERADO </v>
      </c>
      <c r="AB23" s="201"/>
      <c r="AC23" s="201"/>
      <c r="AD23" s="201"/>
      <c r="AE23" s="201"/>
      <c r="AF23" s="201"/>
      <c r="AG23" s="201"/>
      <c r="AH23" s="201"/>
      <c r="AI23" s="201"/>
      <c r="AJ23" s="201"/>
      <c r="AK23" s="200"/>
      <c r="AL23" s="200"/>
      <c r="AM23" s="200"/>
      <c r="AN23" s="200"/>
      <c r="AO23" s="200"/>
    </row>
    <row r="24" spans="1:41" ht="180.75" customHeight="1" x14ac:dyDescent="0.35">
      <c r="A24" s="185">
        <v>14</v>
      </c>
      <c r="B24" s="185" t="s">
        <v>515</v>
      </c>
      <c r="C24" s="227" t="s">
        <v>652</v>
      </c>
      <c r="D24" s="227" t="s">
        <v>653</v>
      </c>
      <c r="E24" s="187" t="s">
        <v>654</v>
      </c>
      <c r="F24" s="189" t="s">
        <v>535</v>
      </c>
      <c r="G24" s="189" t="s">
        <v>599</v>
      </c>
      <c r="H24" s="189" t="s">
        <v>600</v>
      </c>
      <c r="I24" s="189" t="s">
        <v>601</v>
      </c>
      <c r="J24" s="189" t="s">
        <v>594</v>
      </c>
      <c r="K24" s="189">
        <f t="shared" si="15"/>
        <v>-3</v>
      </c>
      <c r="L24" s="189">
        <f t="shared" si="16"/>
        <v>-1</v>
      </c>
      <c r="M24" s="189">
        <f t="shared" si="2"/>
        <v>-12</v>
      </c>
      <c r="N24" s="188" t="str">
        <f>IF(AND(G24="4 - Alto",M24=-4),"MODERADO",VLOOKUP(M24,[1]Parámetros!$B$20:$C$70,2,FALSE))</f>
        <v>ALTO</v>
      </c>
      <c r="O24" s="189" t="s">
        <v>400</v>
      </c>
      <c r="P24" s="189" t="s">
        <v>527</v>
      </c>
      <c r="Q24" s="187" t="s">
        <v>655</v>
      </c>
      <c r="R24" s="189" t="s">
        <v>518</v>
      </c>
      <c r="S24" s="185">
        <v>-1</v>
      </c>
      <c r="T24" s="189" t="s">
        <v>400</v>
      </c>
      <c r="U24" s="185" t="str">
        <f t="shared" si="10"/>
        <v>3 - Medio</v>
      </c>
      <c r="V24" s="189" t="str">
        <f t="shared" si="11"/>
        <v>-2</v>
      </c>
      <c r="W24" s="189">
        <f t="shared" si="12"/>
        <v>-1</v>
      </c>
      <c r="X24" s="189">
        <f t="shared" si="13"/>
        <v>-2</v>
      </c>
      <c r="Y24" s="185" t="str">
        <f t="shared" si="14"/>
        <v>-2 Bajo</v>
      </c>
      <c r="Z24" s="189">
        <f t="shared" si="9"/>
        <v>-6</v>
      </c>
      <c r="AA24" s="185" t="str">
        <f>IF(AND(U24="4 - Alto",Z24=-4),"MODERADO",VLOOKUP(Z24,[1]Parámetros!$B$20:$C$70,2,FALSE))</f>
        <v xml:space="preserve">MODERADO </v>
      </c>
      <c r="AB24" s="201"/>
      <c r="AC24" s="201"/>
      <c r="AD24" s="201"/>
      <c r="AE24" s="201"/>
      <c r="AF24" s="201"/>
      <c r="AG24" s="201"/>
      <c r="AH24" s="201"/>
      <c r="AI24" s="201"/>
      <c r="AJ24" s="201"/>
      <c r="AK24" s="184"/>
      <c r="AL24" s="184"/>
      <c r="AM24" s="184"/>
      <c r="AN24" s="184"/>
      <c r="AO24" s="184"/>
    </row>
    <row r="25" spans="1:41" ht="108" customHeight="1" x14ac:dyDescent="0.35">
      <c r="A25" s="190">
        <v>15</v>
      </c>
      <c r="B25" s="190" t="s">
        <v>515</v>
      </c>
      <c r="C25" s="196" t="s">
        <v>656</v>
      </c>
      <c r="D25" s="196" t="s">
        <v>657</v>
      </c>
      <c r="E25" s="196" t="s">
        <v>658</v>
      </c>
      <c r="F25" s="192" t="s">
        <v>526</v>
      </c>
      <c r="G25" s="192" t="s">
        <v>599</v>
      </c>
      <c r="H25" s="192" t="s">
        <v>600</v>
      </c>
      <c r="I25" s="192" t="s">
        <v>601</v>
      </c>
      <c r="J25" s="192" t="s">
        <v>594</v>
      </c>
      <c r="K25" s="192">
        <f t="shared" si="15"/>
        <v>-3</v>
      </c>
      <c r="L25" s="192">
        <f t="shared" si="16"/>
        <v>-1</v>
      </c>
      <c r="M25" s="192">
        <f t="shared" si="2"/>
        <v>-12</v>
      </c>
      <c r="N25" s="193" t="str">
        <f>IF(AND(G25="4 - Alto",M25=-4),"MODERADO",VLOOKUP(M25,[1]Parámetros!$B$20:$C$70,2,FALSE))</f>
        <v>ALTO</v>
      </c>
      <c r="O25" s="192" t="s">
        <v>400</v>
      </c>
      <c r="P25" s="192" t="s">
        <v>529</v>
      </c>
      <c r="Q25" s="196" t="s">
        <v>659</v>
      </c>
      <c r="R25" s="192" t="s">
        <v>518</v>
      </c>
      <c r="S25" s="190">
        <v>-1</v>
      </c>
      <c r="T25" s="192" t="s">
        <v>400</v>
      </c>
      <c r="U25" s="190" t="str">
        <f t="shared" si="10"/>
        <v>3 - Medio</v>
      </c>
      <c r="V25" s="192" t="str">
        <f t="shared" si="11"/>
        <v>-2</v>
      </c>
      <c r="W25" s="192">
        <f t="shared" si="12"/>
        <v>-1</v>
      </c>
      <c r="X25" s="192">
        <f t="shared" si="13"/>
        <v>-2</v>
      </c>
      <c r="Y25" s="190" t="str">
        <f t="shared" si="14"/>
        <v>-2 Bajo</v>
      </c>
      <c r="Z25" s="192">
        <f t="shared" si="9"/>
        <v>-6</v>
      </c>
      <c r="AA25" s="185" t="str">
        <f>IF(AND(U25="4 - Alto",Z25=-4),"MODERADO",VLOOKUP(Z25,[1]Parámetros!$B$20:$C$70,2,FALSE))</f>
        <v xml:space="preserve">MODERADO </v>
      </c>
      <c r="AB25" s="201"/>
      <c r="AC25" s="201"/>
      <c r="AD25" s="201"/>
      <c r="AE25" s="201"/>
      <c r="AF25" s="201"/>
      <c r="AG25" s="201"/>
      <c r="AH25" s="201"/>
      <c r="AI25" s="201"/>
      <c r="AJ25" s="201"/>
      <c r="AK25" s="184"/>
      <c r="AL25" s="184"/>
      <c r="AM25" s="184"/>
      <c r="AN25" s="184"/>
      <c r="AO25" s="184"/>
    </row>
    <row r="26" spans="1:41" ht="150.75" customHeight="1" x14ac:dyDescent="0.35">
      <c r="A26" s="185">
        <v>16</v>
      </c>
      <c r="B26" s="185" t="s">
        <v>515</v>
      </c>
      <c r="C26" s="227" t="s">
        <v>660</v>
      </c>
      <c r="D26" s="227" t="s">
        <v>661</v>
      </c>
      <c r="E26" s="187" t="s">
        <v>662</v>
      </c>
      <c r="F26" s="189" t="s">
        <v>523</v>
      </c>
      <c r="G26" s="185" t="s">
        <v>591</v>
      </c>
      <c r="H26" s="189" t="s">
        <v>592</v>
      </c>
      <c r="I26" s="189" t="s">
        <v>593</v>
      </c>
      <c r="J26" s="189" t="s">
        <v>594</v>
      </c>
      <c r="K26" s="189">
        <f t="shared" si="15"/>
        <v>-2</v>
      </c>
      <c r="L26" s="189">
        <f t="shared" si="16"/>
        <v>-1</v>
      </c>
      <c r="M26" s="189">
        <f t="shared" si="2"/>
        <v>-4</v>
      </c>
      <c r="N26" s="188" t="str">
        <f>IF(AND(G26="4 - Alto",M26=-4),"MODERADO",VLOOKUP(M26,[1]Parámetros!$B$20:$C$70,2,FALSE))</f>
        <v xml:space="preserve">BAJO </v>
      </c>
      <c r="O26" s="189" t="s">
        <v>289</v>
      </c>
      <c r="P26" s="189" t="s">
        <v>524</v>
      </c>
      <c r="Q26" s="187" t="s">
        <v>663</v>
      </c>
      <c r="R26" s="189" t="s">
        <v>514</v>
      </c>
      <c r="S26" s="185">
        <v>-1</v>
      </c>
      <c r="T26" s="189" t="s">
        <v>289</v>
      </c>
      <c r="U26" s="185" t="str">
        <f t="shared" si="10"/>
        <v>2 - Medio</v>
      </c>
      <c r="V26" s="189" t="str">
        <f t="shared" si="11"/>
        <v>-1</v>
      </c>
      <c r="W26" s="189">
        <f t="shared" si="12"/>
        <v>-1</v>
      </c>
      <c r="X26" s="189">
        <f t="shared" si="13"/>
        <v>-1</v>
      </c>
      <c r="Y26" s="185" t="str">
        <f t="shared" si="14"/>
        <v>-1 Muy bajo</v>
      </c>
      <c r="Z26" s="189">
        <f t="shared" si="9"/>
        <v>-2</v>
      </c>
      <c r="AA26" s="185" t="str">
        <f>IF(AND(U26="4 - Alto",Z26=-4),"MODERADO",VLOOKUP(Z26,[1]Parámetros!$B$20:$C$70,2,FALSE))</f>
        <v xml:space="preserve">BAJO </v>
      </c>
      <c r="AB26" s="201"/>
      <c r="AC26" s="201"/>
      <c r="AD26" s="201"/>
      <c r="AE26" s="201"/>
      <c r="AF26" s="201"/>
      <c r="AG26" s="201"/>
      <c r="AH26" s="201"/>
      <c r="AI26" s="201"/>
      <c r="AJ26" s="201"/>
      <c r="AK26" s="184"/>
      <c r="AL26" s="184"/>
      <c r="AM26" s="184"/>
      <c r="AN26" s="184"/>
      <c r="AO26" s="184"/>
    </row>
    <row r="27" spans="1:41" ht="89.25" customHeight="1" x14ac:dyDescent="0.35">
      <c r="A27" s="190">
        <v>17</v>
      </c>
      <c r="B27" s="190" t="s">
        <v>515</v>
      </c>
      <c r="C27" s="197" t="s">
        <v>664</v>
      </c>
      <c r="D27" s="197" t="s">
        <v>665</v>
      </c>
      <c r="E27" s="196" t="s">
        <v>666</v>
      </c>
      <c r="F27" s="192" t="s">
        <v>532</v>
      </c>
      <c r="G27" s="190" t="s">
        <v>606</v>
      </c>
      <c r="H27" s="192" t="s">
        <v>667</v>
      </c>
      <c r="I27" s="192" t="s">
        <v>593</v>
      </c>
      <c r="J27" s="192" t="s">
        <v>668</v>
      </c>
      <c r="K27" s="192">
        <f t="shared" ref="K27" si="17">MIN(LEFT(H27,2),LEFT(I27,2),LEFT(J27,2))</f>
        <v>-3</v>
      </c>
      <c r="L27" s="192">
        <f t="shared" ref="L27:M27" si="18">MAX(LEFT(H27,2),LEFT(I27,2),LEFT(J27,2))</f>
        <v>-2</v>
      </c>
      <c r="M27" s="192">
        <f t="shared" si="18"/>
        <v>-2</v>
      </c>
      <c r="N27" s="188" t="str">
        <f>IF(AND(G27="4 - Alto",M27=-4),"MODERADO",VLOOKUP(M27,[1]Parámetros!$B$20:$C$70,2,FALSE))</f>
        <v xml:space="preserve">BAJO </v>
      </c>
      <c r="O27" s="192" t="s">
        <v>289</v>
      </c>
      <c r="P27" s="192" t="s">
        <v>527</v>
      </c>
      <c r="Q27" s="196" t="s">
        <v>669</v>
      </c>
      <c r="R27" s="192" t="s">
        <v>518</v>
      </c>
      <c r="S27" s="190">
        <v>-1</v>
      </c>
      <c r="T27" s="192" t="s">
        <v>289</v>
      </c>
      <c r="U27" s="190" t="str">
        <f t="shared" ref="U27:U29" si="19">+IF(AND(R27="Probabilidad",S27=0),G27,IF(AND(R27="Probabilidad",S27=-1,G27="5 - Muy alto"),"4 - alto",IF(AND(R27="Probabilidad",S27=-2,G27="5 - Muy alto"),"3 - Medio",IF(AND(R27="Probabilidad",S27=-1,G27="4 - Alto"),"3 - Medio",IF(AND(R27="Probabilidad",S27=-2,G27="4 - Alto"),"2 - Bajo",IF(AND(R27="Probabilidad",S27=-1,G27="3 - Medio"),"2 - Bajo",IF(AND(R27="Probabilidad",S27=-2,G27="3 - Medio"),"1 - Muy bajo",IF(AND(R27="Probabilidad",S27=-1,G27="2 - Bajo"),"1 - Muy bajo",IF(AND(R27="Probabilidad",S27=-2,G27="2 - Bajo"),"1 - Muy bajo",IF(AND(R27="Probabilidad",S27=-1,G27="1 - Muy bajo"),"1 - Muy bajo",IF(AND(R27="Probabilidad",S27=-2,G27="1 - Muy bajo"),"1 - Muy bajo",IF(AND(R27="Probabilidad-impacto",S27=-2,G27="5 - Muy alto"),"3 - Medio",IF(AND(R27="Probabilidad-impacto",S27=-1,G27="5 - Muy alto"),"4 - Alto",IF(AND(R27="Probabilidad-impacto",S27=-2,G27="4 - Alto"),"2 - Bajo",IF(AND(R27="Probabilidad-impacto",S27=-1,G27="4 - Alto"),"3 - Medio",IF(AND(R27="Probabilidad-impacto",S27=-2,G27="3 - Medio"),"1 - Muy bajo",IF(AND(R27="Probabilidad-impacto",S27=-1,G27="3 - Medio"),"2 - Bajo",IF(AND(R27="Probabilidad-impacto",S27=-2,G27="2 - Bajo"),"1 - Muy bajo",IF(AND(R27="Probabilidad-impacto",S27=-1,G27="2 - Bajo"),"1 - Muy bajo",IF(AND(R27="Probabilidad-impacto",S27=-2,G27="1 - Muy bajo"),"1 - Muy bajo",IF(AND(R27="Probabilidad-impacto",S27=-1,G27="1 - Muy bajo"),"1 - Muy bajo",IF(AND(R27="Probabilidad",S27=1,G27="5 - Muy alto"),"5 - Muy alto",IF(AND(R27="Probabilidad",S27=2,G27="5 - Muy alto"),"5 - Muy alto",IF(AND(R27="Probabilidad",S27=1,G27="4 - Alto"),"5 - Muy alto",IF(AND(R27="Probabilidad",S27=2,G27="4 - Alto"),"5 - Muy alto",IF(AND(R27="Probabilidad",S27=1,G27="3 - Medio"),"4 - Alto",IF(AND(R27="Probabilidad",S27=2,G27="3 - Medio"),"5 - Muy alto",IF(AND(R27="Probabilidad",S27=1,G27="2 - Bajo"),"3 - Medio",IF(AND(R27="Probabilidad",S27=2,G27="2 - Bajo"),"4 - Alto",IF(AND(R27="Probabilidad",S27=1,G27="1 - Muy bajo"),"2 - Bajo",IF(AND(R27="Probabilidad",S27=2,G27="1 - Muy bajo"),"3 - Medio",IF(AND(R27="Probabilidad-impacto",S27=2,G27="5 - Muy alto"),"5 - Muy alto",IF(AND(R27="Probabilidad-impacto",S27=1,G27="5 - Muy alto"),"5 - Muy alto",IF(AND(R27="Probabilidad-impacto",S27=2,G27="4 - Alto"),"5 - Muy alto",IF(AND(R27="Probabilidad-impacto",S27=1,G27="4 - Alto"),"5 - Muy alto",IF(AND(R27="Probabilidad-impacto",S27=2,G27="3 - Medio"),"5 - Muy alto",IF(AND(R27="Probabilidad-impacto",S27=1,G27="3 - Medio"),"4 - Alto",IF(AND(R27="Probabilidad-impacto",S27=2,G27="2 - Bajo"),"4 - Alto",IF(AND(R27="Probabilidad-impacto",S27=1,G27="2 - Bajo"),"3 - Medio",IF(AND(R27="Probabilidad-impacto",S27=2,G27="1 - Muy bajo"),"3 - Medio",IF(AND(R27="Probabilidad-impacto",S27=1,G27="1 - Muy bajo"),"2 - Bajo",G27)))))))))))))))))))))))))))))))))))))))))</f>
        <v>2 - Bajo</v>
      </c>
      <c r="V27" s="192" t="str">
        <f t="shared" ref="V27:V29" si="20">IF(AND(R27="Impacto",S27=0),K27,IF(AND(R27="Impacto",S27=-2,K27=-5),"-3",IF(AND(R27="Impacto",S27=-1,K27=-5),"-4",IF(AND(R27="Impacto",S27=-2,K27=-4),"-2",IF(AND(R27="Impacto",S27=-1,K27=-4),"-3",IF(AND(R27="Impacto",S27=-2,K27=-3),"-1",IF(AND(R27="Impacto",S27=-1,K27=-3),"-2",IF(AND(R27="Impacto",S27=-2,K27=-2),"-1",IF(AND(R27="Impacto",S27=-1,K27=-2),"-1",IF(AND(R27="Impacto",S27=-2,K27=-1),"-1",IF(AND(R27="Impacto",S27=-1,K27=-1),"-1",IF(AND(R27="Probabilidad-impacto",S27=-2,K27=-5),"-3",IF(AND(R27="Probabilidad-impacto",S27=-1,K27=-5),"-4",IF(AND(R27="Probabilidad-impacto",S27=-2,K27=-4),"-2",IF(AND(R27="Probabilidad-impacto",S27=-1,K27=-4),"-3",IF(AND(R27="Probabilidad-impacto",S27=-2,K27=-3),"-1",IF(AND(R27="Probabilidad-impacto",S27=-1,K27=-3),"-2",IF(AND(R27="Probabilidad-impacto",S27=-2,K27=-2),"-1",IF(AND(R27="Probabilidad-impacto",S27=-1,K27=-2),"-1",IF(AND(R27="Probabilidad-impacto",S27=-2,K27=-1),"-1",IF(AND(R27="Probabilidad-impacto",S27=-1,K27=-1),"-1",K27)))))))))))))))))))))</f>
        <v>-2</v>
      </c>
      <c r="W27" s="192">
        <f t="shared" ref="W27:W29" si="21">IF(AND(R27="Impacto",S27=0),L27,IF(AND(R27="Impacto",S27=2,L27=5),"5",IF(AND(R27="Impacto",S27=1,L27=5),"5",IF(AND(R27="Impacto",S27=2,L27=4),"5",IF(AND(R27="Impacto",S27=1,L27=4),"5",IF(AND(R27="Impacto",S27=2,L27=3),"5",IF(AND(R27="Impacto",S27=1,L27=3),"4",IF(AND(R27="Impacto",S27=2,L27=2),"4",IF(AND(R27="Impacto",S27=1,L27=2),"3",IF(AND(R27="Impacto",S27=2,L27=1),"3",IF(AND(R27="Impacto",S27=1,L27=1),"2",IF(AND(R27="Probabilidad-impacto",S27=2,L27=5),"5",IF(AND(R27="Probabilidad-impacto",S27=1,L27=5),"5",IF(AND(R27="Probabilidad-impacto",S27=2,L27=4),"5",IF(AND(R27="Probabilidad-impacto",S27=1,L27=4),"5",IF(AND(R27="Probabilidad-impacto",S27=2,L27=3),"5",IF(AND(R27="Probabilidad-impacto",S27=1,L27=3),"4",IF(AND(R27="Probabilidad-impacto",S27=2,L27=2),"4",IF(AND(R27="Probabilidad-impacto",S27=1,L27=2),"3",IF(AND(R27="Probabilidad-impacto",S27=2,L27=1),"3",IF(AND(R27="Probabilidad-impacto",S27=1,L27=1),"2",L27)))))))))))))))))))))</f>
        <v>-2</v>
      </c>
      <c r="X27" s="192">
        <f t="shared" ref="X27:X28" si="22">IF(W27&gt;0,W27*1,V27*1)</f>
        <v>-2</v>
      </c>
      <c r="Y27" s="190" t="str">
        <f t="shared" ref="Y27:Y28" si="23">IF(X27=-1,"-1 Muy bajo",IF(X27=-2,"-2 Bajo",IF(X27=-3,"-3 Medio",IF(X27=-4,"-4 Muy alto",IF(X27=-5,"-5 Muy alto",IF(X27=1,"1 Muy bajo",IF(X27=2,"2 Bajo",IF(X27=3,"3 Medio",IF(X27=4,"4 Muy alto",IF(X27=5,"5 Muy alto",0))))))))))</f>
        <v>-2 Bajo</v>
      </c>
      <c r="Z27" s="192">
        <f t="shared" ref="Z27:Z28" si="24">LEFT(U27,2)*(LEFT(Y27,2))</f>
        <v>-4</v>
      </c>
      <c r="AA27" s="185" t="str">
        <f>IF(AND(U27="4 - Alto",Z27=-4),"MODERADO",VLOOKUP(Z27,[1]Parámetros!$B$20:$C$70,2,FALSE))</f>
        <v xml:space="preserve">BAJO </v>
      </c>
      <c r="AB27" s="201"/>
      <c r="AC27" s="201"/>
      <c r="AD27" s="201"/>
      <c r="AE27" s="201"/>
      <c r="AF27" s="201"/>
      <c r="AG27" s="201"/>
      <c r="AH27" s="201"/>
      <c r="AI27" s="201"/>
      <c r="AJ27" s="201"/>
      <c r="AK27" s="184"/>
      <c r="AL27" s="184"/>
      <c r="AM27" s="184"/>
      <c r="AN27" s="184"/>
      <c r="AO27" s="184"/>
    </row>
    <row r="28" spans="1:41" ht="130.5" customHeight="1" x14ac:dyDescent="0.35">
      <c r="A28" s="185">
        <v>18</v>
      </c>
      <c r="B28" s="185" t="s">
        <v>515</v>
      </c>
      <c r="C28" s="227" t="s">
        <v>670</v>
      </c>
      <c r="D28" s="227" t="s">
        <v>671</v>
      </c>
      <c r="E28" s="187" t="s">
        <v>672</v>
      </c>
      <c r="F28" s="189" t="s">
        <v>532</v>
      </c>
      <c r="G28" s="189" t="s">
        <v>612</v>
      </c>
      <c r="H28" s="189" t="s">
        <v>614</v>
      </c>
      <c r="I28" s="189" t="s">
        <v>613</v>
      </c>
      <c r="J28" s="189" t="s">
        <v>614</v>
      </c>
      <c r="K28" s="189">
        <f>MIN(LEFT(H28,2),LEFT(I28,2),LEFT(J28,2))</f>
        <v>-1</v>
      </c>
      <c r="L28" s="189">
        <f>MAX(LEFT(H28,2),LEFT(I28,2),LEFT(J28,2))</f>
        <v>0</v>
      </c>
      <c r="M28" s="189">
        <f t="shared" ref="M28:M29" si="25">LEFT(G28,2)*(IF(K28&gt;=0,L28,MIN(K28:L28)))</f>
        <v>-2</v>
      </c>
      <c r="N28" s="188" t="str">
        <f>IF(AND(G28="4 - Alto",M28=-4),"MODERADO",VLOOKUP(M28,[1]Parámetros!$B$20:$C$70,2,FALSE))</f>
        <v xml:space="preserve">BAJO </v>
      </c>
      <c r="O28" s="189" t="s">
        <v>400</v>
      </c>
      <c r="P28" s="189" t="s">
        <v>527</v>
      </c>
      <c r="Q28" s="187" t="s">
        <v>673</v>
      </c>
      <c r="R28" s="189" t="s">
        <v>518</v>
      </c>
      <c r="S28" s="185">
        <v>-1</v>
      </c>
      <c r="T28" s="189" t="s">
        <v>400</v>
      </c>
      <c r="U28" s="185" t="str">
        <f t="shared" si="19"/>
        <v>1 - Muy bajo</v>
      </c>
      <c r="V28" s="189" t="str">
        <f t="shared" si="20"/>
        <v>-1</v>
      </c>
      <c r="W28" s="189">
        <f t="shared" si="21"/>
        <v>0</v>
      </c>
      <c r="X28" s="189">
        <f t="shared" si="22"/>
        <v>-1</v>
      </c>
      <c r="Y28" s="185" t="str">
        <f t="shared" si="23"/>
        <v>-1 Muy bajo</v>
      </c>
      <c r="Z28" s="189">
        <f t="shared" si="24"/>
        <v>-1</v>
      </c>
      <c r="AA28" s="185" t="str">
        <f>IF(AND(U28="4 - Alto",Z28=-4),"MODERADO",VLOOKUP(Z28,[1]Parámetros!$B$20:$C$70,2,FALSE))</f>
        <v xml:space="preserve">BAJO </v>
      </c>
      <c r="AB28" s="201"/>
      <c r="AC28" s="201"/>
      <c r="AD28" s="201"/>
      <c r="AE28" s="201"/>
      <c r="AF28" s="201"/>
      <c r="AG28" s="201"/>
      <c r="AH28" s="201"/>
      <c r="AI28" s="201"/>
      <c r="AJ28" s="201"/>
      <c r="AK28" s="184"/>
      <c r="AL28" s="184"/>
      <c r="AM28" s="184"/>
      <c r="AN28" s="184"/>
      <c r="AO28" s="184"/>
    </row>
    <row r="29" spans="1:41" ht="50" x14ac:dyDescent="0.35">
      <c r="A29" s="190">
        <v>19</v>
      </c>
      <c r="B29" s="190" t="s">
        <v>519</v>
      </c>
      <c r="C29" s="196" t="s">
        <v>674</v>
      </c>
      <c r="D29" s="196" t="s">
        <v>694</v>
      </c>
      <c r="E29" s="196" t="s">
        <v>675</v>
      </c>
      <c r="F29" s="192" t="s">
        <v>532</v>
      </c>
      <c r="G29" s="190" t="s">
        <v>606</v>
      </c>
      <c r="H29" s="192" t="s">
        <v>592</v>
      </c>
      <c r="I29" s="192" t="s">
        <v>613</v>
      </c>
      <c r="J29" s="192" t="s">
        <v>613</v>
      </c>
      <c r="K29" s="192">
        <f t="shared" ref="K29" si="26">MIN(LEFT(H29,2),LEFT(I29,2),LEFT(J29,2))</f>
        <v>-1</v>
      </c>
      <c r="L29" s="192">
        <f t="shared" ref="L29" si="27">MAX(LEFT(H29,2),LEFT(I29,2),LEFT(J29,2))</f>
        <v>-1</v>
      </c>
      <c r="M29" s="192">
        <f t="shared" si="25"/>
        <v>-3</v>
      </c>
      <c r="N29" s="193" t="str">
        <f>IF(AND(G29="4 - Alto",M29=-4),"MODERADO",VLOOKUP(M29,[1]Parámetros!$B$20:$C$70,2,FALSE))</f>
        <v xml:space="preserve">BAJO </v>
      </c>
      <c r="O29" s="192" t="s">
        <v>400</v>
      </c>
      <c r="P29" s="192" t="s">
        <v>529</v>
      </c>
      <c r="Q29" s="196" t="s">
        <v>676</v>
      </c>
      <c r="R29" s="192" t="s">
        <v>510</v>
      </c>
      <c r="S29" s="190">
        <v>-1</v>
      </c>
      <c r="T29" s="192" t="s">
        <v>400</v>
      </c>
      <c r="U29" s="190" t="str">
        <f t="shared" si="19"/>
        <v>2 - Bajo</v>
      </c>
      <c r="V29" s="192">
        <f t="shared" si="20"/>
        <v>-1</v>
      </c>
      <c r="W29" s="192">
        <f t="shared" si="21"/>
        <v>-1</v>
      </c>
      <c r="X29" s="192">
        <f>IF(W29&gt;0,W29*1,V29*1)</f>
        <v>-1</v>
      </c>
      <c r="Y29" s="190" t="str">
        <f>IF(X29=-1,"-1 Muy bajo",IF(X29=-2,"-2 Bajo",IF(X29=-3,"-3 Medio",IF(X29=-4,"-4 Muy alto",IF(X29=-5,"-5 Muy alto",IF(X29=1,"1 Muy bajo",IF(X29=2,"2 Bajo",IF(X29=3,"3 Medio",IF(X29=4,"4 Muy alto",IF(X29=5,"5 Muy alto",0))))))))))</f>
        <v>-1 Muy bajo</v>
      </c>
      <c r="Z29" s="192">
        <f>LEFT(U29,2)*(LEFT(Y29,2))</f>
        <v>-2</v>
      </c>
      <c r="AA29" s="185" t="str">
        <f>IF(AND(U29="4 - Alto",Z29=-4),"MODERADO",VLOOKUP(Z29,[1]Parámetros!$B$20:$C$70,2,FALSE))</f>
        <v xml:space="preserve">BAJO </v>
      </c>
      <c r="AB29" s="201"/>
      <c r="AC29" s="184"/>
      <c r="AD29" s="184"/>
      <c r="AE29" s="184"/>
      <c r="AF29" s="184"/>
      <c r="AG29" s="184"/>
      <c r="AH29" s="184"/>
      <c r="AI29" s="184"/>
      <c r="AJ29" s="184"/>
      <c r="AK29" s="184"/>
      <c r="AL29" s="184"/>
      <c r="AM29" s="184"/>
      <c r="AN29" s="184"/>
      <c r="AO29" s="184"/>
    </row>
  </sheetData>
  <autoFilter ref="A10:AG29" xr:uid="{00000000-0001-0000-0500-000000000000}">
    <filterColumn colId="21" showButton="0"/>
    <filterColumn colId="22" showButton="0"/>
  </autoFilter>
  <mergeCells count="11">
    <mergeCell ref="A1:C5"/>
    <mergeCell ref="D1:AA5"/>
    <mergeCell ref="A7:C7"/>
    <mergeCell ref="D7:H7"/>
    <mergeCell ref="J7:N7"/>
    <mergeCell ref="S7:T7"/>
    <mergeCell ref="A9:F9"/>
    <mergeCell ref="G9:N9"/>
    <mergeCell ref="O9:T9"/>
    <mergeCell ref="U9:AA9"/>
    <mergeCell ref="V10:X10"/>
  </mergeCells>
  <phoneticPr fontId="52" type="noConversion"/>
  <conditionalFormatting sqref="N11:N19">
    <cfRule type="containsText" dxfId="93" priority="146" operator="containsText" text="ALTO (+)">
      <formula>NOT(ISERROR(SEARCH("ALTO (+)",N11)))</formula>
    </cfRule>
    <cfRule type="containsText" dxfId="92" priority="147" operator="containsText" text="MODERADO (+)">
      <formula>NOT(ISERROR(SEARCH("MODERADO (+)",N11)))</formula>
    </cfRule>
    <cfRule type="containsText" dxfId="91" priority="148" operator="containsText" text="BAJO (+)">
      <formula>NOT(ISERROR(SEARCH("BAJO (+)",N11)))</formula>
    </cfRule>
    <cfRule type="containsText" dxfId="90" priority="149" operator="containsText" text="EXTREMO">
      <formula>NOT(ISERROR(SEARCH("EXTREMO",N11)))</formula>
    </cfRule>
    <cfRule type="containsText" dxfId="89" priority="150" operator="containsText" text="ALTO">
      <formula>NOT(ISERROR(SEARCH("ALTO",N11)))</formula>
    </cfRule>
    <cfRule type="containsText" dxfId="88" priority="151" operator="containsText" text="MODERADO">
      <formula>NOT(ISERROR(SEARCH("MODERADO",N11)))</formula>
    </cfRule>
    <cfRule type="containsText" dxfId="87" priority="152" operator="containsText" text="BAJO">
      <formula>NOT(ISERROR(SEARCH("BAJO",N11)))</formula>
    </cfRule>
  </conditionalFormatting>
  <conditionalFormatting sqref="N11:N20">
    <cfRule type="containsText" dxfId="86" priority="137" operator="containsText" text="EXTREMO (+)">
      <formula>NOT(ISERROR(SEARCH("EXTREMO (+)",N11)))</formula>
    </cfRule>
  </conditionalFormatting>
  <conditionalFormatting sqref="N20">
    <cfRule type="containsText" dxfId="85" priority="153" operator="containsText" text="MODERADO (+)">
      <formula>NOT(ISERROR(SEARCH("MODERADO (+)",N20)))</formula>
    </cfRule>
    <cfRule type="containsText" dxfId="84" priority="153" operator="containsText" text="EXTREMO">
      <formula>NOT(ISERROR(SEARCH("EXTREMO",N20)))</formula>
    </cfRule>
    <cfRule type="containsText" dxfId="83" priority="153" operator="containsText" text="BAJO (+)">
      <formula>NOT(ISERROR(SEARCH("BAJO (+)",N20)))</formula>
    </cfRule>
    <cfRule type="containsText" dxfId="82" priority="153" operator="containsText" text="BAJO">
      <formula>NOT(ISERROR(SEARCH("BAJO",N20)))</formula>
    </cfRule>
    <cfRule type="containsText" dxfId="81" priority="153" operator="containsText" text="MODERADO">
      <formula>NOT(ISERROR(SEARCH("MODERADO",N20)))</formula>
    </cfRule>
    <cfRule type="containsText" dxfId="80" priority="153" operator="containsText" text="ALTO">
      <formula>NOT(ISERROR(SEARCH("ALTO",N20)))</formula>
    </cfRule>
  </conditionalFormatting>
  <conditionalFormatting sqref="N20:N1048576">
    <cfRule type="containsText" dxfId="79" priority="2" operator="containsText" text="ALTO (+)">
      <formula>NOT(ISERROR(SEARCH("ALTO (+)",N20)))</formula>
    </cfRule>
  </conditionalFormatting>
  <conditionalFormatting sqref="N21:N1048576">
    <cfRule type="containsText" dxfId="78" priority="1" operator="containsText" text="EXTREMO (+)">
      <formula>NOT(ISERROR(SEARCH("EXTREMO (+)",N21)))</formula>
    </cfRule>
    <cfRule type="containsText" dxfId="77" priority="3" operator="containsText" text="MODERADO (+)">
      <formula>NOT(ISERROR(SEARCH("MODERADO (+)",N21)))</formula>
    </cfRule>
    <cfRule type="containsText" dxfId="76" priority="4" operator="containsText" text="BAJO (+)">
      <formula>NOT(ISERROR(SEARCH("BAJO (+)",N21)))</formula>
    </cfRule>
    <cfRule type="containsText" dxfId="75" priority="5" operator="containsText" text="EXTREMO">
      <formula>NOT(ISERROR(SEARCH("EXTREMO",N21)))</formula>
    </cfRule>
    <cfRule type="containsText" dxfId="74" priority="6" operator="containsText" text="ALTO">
      <formula>NOT(ISERROR(SEARCH("ALTO",N21)))</formula>
    </cfRule>
    <cfRule type="containsText" dxfId="73" priority="7" operator="containsText" text="MODERADO">
      <formula>NOT(ISERROR(SEARCH("MODERADO",N21)))</formula>
    </cfRule>
    <cfRule type="containsText" dxfId="72" priority="8" operator="containsText" text="BAJO">
      <formula>NOT(ISERROR(SEARCH("BAJO",N21)))</formula>
    </cfRule>
  </conditionalFormatting>
  <conditionalFormatting sqref="AA7">
    <cfRule type="containsText" dxfId="71" priority="409" operator="containsText" text="EXTREMO (+)">
      <formula>NOT(ISERROR(SEARCH("EXTREMO (+)",AA7)))</formula>
    </cfRule>
    <cfRule type="containsText" dxfId="70" priority="410" operator="containsText" text="ALTO (+)">
      <formula>NOT(ISERROR(SEARCH("ALTO (+)",AA7)))</formula>
    </cfRule>
    <cfRule type="containsText" dxfId="69" priority="411" operator="containsText" text="MODERADO (+)">
      <formula>NOT(ISERROR(SEARCH("MODERADO (+)",AA7)))</formula>
    </cfRule>
    <cfRule type="containsText" dxfId="68" priority="412" operator="containsText" text="BAJO (+)">
      <formula>NOT(ISERROR(SEARCH("BAJO (+)",AA7)))</formula>
    </cfRule>
    <cfRule type="containsText" dxfId="67" priority="413" operator="containsText" text="EXTREMO">
      <formula>NOT(ISERROR(SEARCH("EXTREMO",AA7)))</formula>
    </cfRule>
    <cfRule type="containsText" dxfId="66" priority="414" operator="containsText" text="ALTO">
      <formula>NOT(ISERROR(SEARCH("ALTO",AA7)))</formula>
    </cfRule>
    <cfRule type="containsText" dxfId="65" priority="415" operator="containsText" text="MODERADO">
      <formula>NOT(ISERROR(SEARCH("MODERADO",AA7)))</formula>
    </cfRule>
    <cfRule type="containsText" dxfId="64" priority="416" operator="containsText" text="BAJO">
      <formula>NOT(ISERROR(SEARCH("BAJO",AA7)))</formula>
    </cfRule>
  </conditionalFormatting>
  <conditionalFormatting sqref="AA11:AA19">
    <cfRule type="containsText" dxfId="63" priority="154" operator="containsText" text="ALTO (+)">
      <formula>NOT(ISERROR(SEARCH("ALTO (+)",AA11)))</formula>
    </cfRule>
    <cfRule type="containsText" dxfId="62" priority="155" operator="containsText" text="MODERADO (+)">
      <formula>NOT(ISERROR(SEARCH("MODERADO (+)",AA11)))</formula>
    </cfRule>
    <cfRule type="containsText" dxfId="61" priority="156" operator="containsText" text="BAJO (+)">
      <formula>NOT(ISERROR(SEARCH("BAJO (+)",AA11)))</formula>
    </cfRule>
    <cfRule type="containsText" dxfId="60" priority="157" operator="containsText" text="EXTREMO">
      <formula>NOT(ISERROR(SEARCH("EXTREMO",AA11)))</formula>
    </cfRule>
    <cfRule type="containsText" dxfId="59" priority="158" operator="containsText" text="ALTO">
      <formula>NOT(ISERROR(SEARCH("ALTO",AA11)))</formula>
    </cfRule>
    <cfRule type="containsText" dxfId="58" priority="159" operator="containsText" text="MODERADO">
      <formula>NOT(ISERROR(SEARCH("MODERADO",AA11)))</formula>
    </cfRule>
    <cfRule type="containsText" dxfId="57" priority="160" operator="containsText" text="BAJO">
      <formula>NOT(ISERROR(SEARCH("BAJO",AA11)))</formula>
    </cfRule>
  </conditionalFormatting>
  <conditionalFormatting sqref="AA11:AA20">
    <cfRule type="containsText" dxfId="56" priority="417" operator="containsText" text="EXTREMO (+)">
      <formula>NOT(ISERROR(SEARCH("EXTREMO (+)",AA11)))</formula>
    </cfRule>
  </conditionalFormatting>
  <conditionalFormatting sqref="AA20:AA1048576">
    <cfRule type="containsText" dxfId="55" priority="10" operator="containsText" text="ALTO (+)">
      <formula>NOT(ISERROR(SEARCH("ALTO (+)",AA20)))</formula>
    </cfRule>
    <cfRule type="containsText" dxfId="54" priority="11" operator="containsText" text="MODERADO (+)">
      <formula>NOT(ISERROR(SEARCH("MODERADO (+)",AA20)))</formula>
    </cfRule>
    <cfRule type="containsText" dxfId="53" priority="12" operator="containsText" text="BAJO (+)">
      <formula>NOT(ISERROR(SEARCH("BAJO (+)",AA20)))</formula>
    </cfRule>
    <cfRule type="containsText" dxfId="52" priority="13" operator="containsText" text="EXTREMO">
      <formula>NOT(ISERROR(SEARCH("EXTREMO",AA20)))</formula>
    </cfRule>
    <cfRule type="containsText" dxfId="51" priority="14" operator="containsText" text="ALTO">
      <formula>NOT(ISERROR(SEARCH("ALTO",AA20)))</formula>
    </cfRule>
    <cfRule type="containsText" dxfId="50" priority="15" operator="containsText" text="MODERADO">
      <formula>NOT(ISERROR(SEARCH("MODERADO",AA20)))</formula>
    </cfRule>
    <cfRule type="containsText" dxfId="49" priority="16" operator="containsText" text="BAJO">
      <formula>NOT(ISERROR(SEARCH("BAJO",AA20)))</formula>
    </cfRule>
  </conditionalFormatting>
  <conditionalFormatting sqref="AA21:AA1048576">
    <cfRule type="containsText" dxfId="48" priority="9" operator="containsText" text="EXTREMO (+)">
      <formula>NOT(ISERROR(SEARCH("EXTREMO (+)",AA21)))</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500-000004000000}">
          <x14:formula1>
            <xm:f>Parámetros!$E$3:$E$13</xm:f>
          </x14:formula1>
          <xm:sqref>I11:I12 I29:J29 I15:I27</xm:sqref>
        </x14:dataValidation>
        <x14:dataValidation type="list" allowBlank="1" showInputMessage="1" showErrorMessage="1" xr:uid="{00000000-0002-0000-0500-000005000000}">
          <x14:formula1>
            <xm:f>Parámetros!$F$3:$F$13</xm:f>
          </x14:formula1>
          <xm:sqref>J11:J12 J15:J27</xm:sqref>
        </x14:dataValidation>
        <x14:dataValidation type="list" allowBlank="1" showInputMessage="1" showErrorMessage="1" xr:uid="{00000000-0002-0000-0500-000006000000}">
          <x14:formula1>
            <xm:f>Parámetros!$H$3:$H$5</xm:f>
          </x14:formula1>
          <xm:sqref>T15:T16 T18:T26 T28 O15:O29</xm:sqref>
        </x14:dataValidation>
        <x14:dataValidation type="list" allowBlank="1" showInputMessage="1" showErrorMessage="1" xr:uid="{00000000-0002-0000-0500-000008000000}">
          <x14:formula1>
            <xm:f>Parámetros!$J$3:$J$6</xm:f>
          </x14:formula1>
          <xm:sqref>R22:R24 R17:R20 R26:R29</xm:sqref>
        </x14:dataValidation>
        <x14:dataValidation type="list" allowBlank="1" showInputMessage="1" showErrorMessage="1" xr:uid="{00000000-0002-0000-0500-000003000000}">
          <x14:formula1>
            <xm:f>Parámetros!$D$3:$D$18</xm:f>
          </x14:formula1>
          <xm:sqref>H29 H11:H27</xm:sqref>
        </x14:dataValidation>
        <x14:dataValidation type="list" allowBlank="1" showInputMessage="1" showErrorMessage="1" xr:uid="{00000000-0002-0000-0500-000001000000}">
          <x14:formula1>
            <xm:f>Parámetros!$B$3:$B$14</xm:f>
          </x14:formula1>
          <xm:sqref>F11:F29</xm:sqref>
        </x14:dataValidation>
        <x14:dataValidation type="list" allowBlank="1" showInputMessage="1" showErrorMessage="1" xr:uid="{00000000-0002-0000-0500-000007000000}">
          <x14:formula1>
            <xm:f>Parámetros!$I$3:$I$15</xm:f>
          </x14:formula1>
          <xm:sqref>P15:P29</xm:sqref>
        </x14:dataValidation>
        <x14:dataValidation type="list" allowBlank="1" showInputMessage="1" showErrorMessage="1" xr:uid="{00000000-0002-0000-0500-000000000000}">
          <x14:formula1>
            <xm:f>Parámetros!$A$3:$A$8</xm:f>
          </x14:formula1>
          <xm:sqref>B17:B29</xm:sqref>
        </x14:dataValidation>
        <x14:dataValidation type="list" allowBlank="1" showInputMessage="1" showErrorMessage="1" xr:uid="{00000000-0002-0000-0500-000002000000}">
          <x14:formula1>
            <xm:f>Parámetros!$C$3:$C$7</xm:f>
          </x14:formula1>
          <xm:sqref>G11:G29</xm:sqref>
        </x14:dataValidation>
        <x14:dataValidation type="list" allowBlank="1" showInputMessage="1" showErrorMessage="1" xr:uid="{00000000-0002-0000-0500-000009000000}">
          <x14:formula1>
            <xm:f>Parámetros!$K$3:$K$7</xm:f>
          </x14:formula1>
          <xm:sqref>S11:S29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0" tint="-0.14999847407452621"/>
  </sheetPr>
  <dimension ref="A1:AS61"/>
  <sheetViews>
    <sheetView showGridLines="0" topLeftCell="A7" zoomScale="85" zoomScaleNormal="85" workbookViewId="0">
      <selection activeCell="F20" sqref="F20"/>
    </sheetView>
  </sheetViews>
  <sheetFormatPr baseColWidth="10" defaultColWidth="0" defaultRowHeight="14.5" x14ac:dyDescent="0.35"/>
  <cols>
    <col min="1" max="1" width="7.08203125" style="144" customWidth="1"/>
    <col min="2" max="2" width="12.58203125" style="144" customWidth="1"/>
    <col min="3" max="3" width="24.25" style="170" customWidth="1"/>
    <col min="4" max="4" width="22.5" style="146" customWidth="1"/>
    <col min="5" max="5" width="23.25" style="147" customWidth="1"/>
    <col min="6" max="6" width="14.33203125" style="171" customWidth="1"/>
    <col min="7" max="7" width="14.5" style="1" customWidth="1"/>
    <col min="8" max="10" width="16" style="1" customWidth="1"/>
    <col min="11" max="13" width="13" style="1" hidden="1" customWidth="1"/>
    <col min="14" max="14" width="17.08203125" style="1" customWidth="1"/>
    <col min="15" max="15" width="15.5" style="172" customWidth="1"/>
    <col min="16" max="16" width="15.75" style="148" customWidth="1"/>
    <col min="17" max="17" width="35.25" style="149" customWidth="1"/>
    <col min="18" max="18" width="16.25" style="148" customWidth="1"/>
    <col min="19" max="19" width="16.25" style="173" customWidth="1"/>
    <col min="20" max="20" width="16.25" style="148" customWidth="1"/>
    <col min="21" max="21" width="18.5" style="148" customWidth="1"/>
    <col min="22" max="23" width="9.08203125" style="150" hidden="1" customWidth="1"/>
    <col min="24" max="24" width="9" style="150" hidden="1" customWidth="1"/>
    <col min="25" max="25" width="18.08203125" style="148" customWidth="1"/>
    <col min="26" max="26" width="10.83203125" style="151" hidden="1" customWidth="1"/>
    <col min="27" max="27" width="18.08203125" style="1" customWidth="1"/>
    <col min="28" max="28" width="27.25" style="174" customWidth="1"/>
    <col min="29" max="29" width="39.58203125" style="149" customWidth="1"/>
    <col min="30" max="30" width="10" style="1" customWidth="1"/>
    <col min="31" max="45" width="0" style="1" hidden="1" customWidth="1"/>
    <col min="46" max="16384" width="10" style="1" hidden="1"/>
  </cols>
  <sheetData>
    <row r="1" spans="1:29" x14ac:dyDescent="0.35">
      <c r="A1" s="378"/>
      <c r="B1" s="379"/>
      <c r="C1" s="380"/>
      <c r="D1" s="508" t="s">
        <v>677</v>
      </c>
      <c r="E1" s="509"/>
      <c r="F1" s="509"/>
      <c r="G1" s="509"/>
      <c r="H1" s="509"/>
      <c r="I1" s="509"/>
      <c r="J1" s="509"/>
      <c r="K1" s="509"/>
      <c r="L1" s="509"/>
      <c r="M1" s="509"/>
      <c r="N1" s="509"/>
      <c r="O1" s="509"/>
      <c r="P1" s="509"/>
      <c r="Q1" s="509"/>
      <c r="R1" s="509"/>
      <c r="S1" s="509"/>
      <c r="T1" s="509"/>
      <c r="U1" s="509"/>
      <c r="V1" s="509"/>
      <c r="W1" s="509"/>
      <c r="X1" s="509"/>
      <c r="Y1" s="509"/>
      <c r="Z1" s="509"/>
      <c r="AA1" s="509"/>
      <c r="AB1" s="509"/>
      <c r="AC1" s="510"/>
    </row>
    <row r="2" spans="1:29" x14ac:dyDescent="0.35">
      <c r="A2" s="381"/>
      <c r="B2" s="382"/>
      <c r="C2" s="383"/>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2"/>
    </row>
    <row r="3" spans="1:29" x14ac:dyDescent="0.35">
      <c r="A3" s="381"/>
      <c r="B3" s="382"/>
      <c r="C3" s="383"/>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2"/>
    </row>
    <row r="4" spans="1:29" x14ac:dyDescent="0.35">
      <c r="A4" s="381"/>
      <c r="B4" s="382"/>
      <c r="C4" s="383"/>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2"/>
    </row>
    <row r="5" spans="1:29" ht="15" thickBot="1" x14ac:dyDescent="0.4">
      <c r="A5" s="384"/>
      <c r="B5" s="385"/>
      <c r="C5" s="386"/>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4"/>
    </row>
    <row r="6" spans="1:29" ht="7.5" customHeight="1" x14ac:dyDescent="0.35">
      <c r="A6" s="85"/>
      <c r="B6" s="86"/>
      <c r="C6" s="152"/>
      <c r="D6" s="86"/>
      <c r="E6" s="87"/>
      <c r="F6" s="86"/>
      <c r="G6" s="86"/>
      <c r="H6" s="86"/>
      <c r="I6" s="86"/>
      <c r="J6" s="86"/>
      <c r="K6" s="86"/>
      <c r="L6" s="86"/>
      <c r="M6" s="86"/>
      <c r="N6" s="86"/>
      <c r="O6" s="86"/>
      <c r="P6" s="86"/>
      <c r="Q6" s="86"/>
      <c r="R6" s="153"/>
      <c r="S6" s="86"/>
      <c r="T6" s="86"/>
      <c r="U6" s="86"/>
      <c r="V6" s="88"/>
      <c r="W6" s="88"/>
      <c r="X6" s="88"/>
      <c r="Y6" s="86"/>
      <c r="Z6" s="86"/>
      <c r="AA6" s="86"/>
      <c r="AB6" s="86"/>
      <c r="AC6" s="89"/>
    </row>
    <row r="7" spans="1:29" ht="69" customHeight="1" x14ac:dyDescent="0.35">
      <c r="A7" s="515" t="s">
        <v>557</v>
      </c>
      <c r="B7" s="516"/>
      <c r="C7" s="516"/>
      <c r="D7" s="517" t="s">
        <v>678</v>
      </c>
      <c r="E7" s="518"/>
      <c r="F7" s="518"/>
      <c r="G7" s="518"/>
      <c r="H7" s="519"/>
      <c r="I7" s="90" t="s">
        <v>558</v>
      </c>
      <c r="J7" s="154">
        <f>+'[1]Matriz seguimiento (1)'!J7</f>
        <v>0</v>
      </c>
      <c r="K7" s="155"/>
      <c r="L7" s="155"/>
      <c r="M7" s="155"/>
      <c r="N7" s="156"/>
      <c r="O7" s="90" t="s">
        <v>559</v>
      </c>
      <c r="P7" s="157" t="e">
        <f>+[1]Contexto!B13</f>
        <v>#REF!</v>
      </c>
      <c r="Q7" s="90" t="s">
        <v>560</v>
      </c>
      <c r="R7" s="91"/>
      <c r="S7" s="516" t="s">
        <v>679</v>
      </c>
      <c r="T7" s="516"/>
      <c r="U7" s="91"/>
      <c r="V7" s="92"/>
      <c r="W7" s="92"/>
      <c r="X7" s="92"/>
      <c r="Y7" s="93" t="s">
        <v>562</v>
      </c>
      <c r="Z7" s="92"/>
      <c r="AA7" s="158" t="e">
        <f>VLOOKUP(R7&amp;U7,[1]Parámetros!$G$21:$H$46,2,FALSE)</f>
        <v>#N/A</v>
      </c>
      <c r="AB7" s="90" t="s">
        <v>680</v>
      </c>
      <c r="AC7" s="159"/>
    </row>
    <row r="8" spans="1:29" ht="8.25" customHeight="1" thickBot="1" x14ac:dyDescent="0.4">
      <c r="A8" s="94"/>
      <c r="B8" s="95"/>
      <c r="C8" s="160"/>
      <c r="D8" s="95"/>
      <c r="E8" s="96"/>
      <c r="F8" s="95"/>
      <c r="G8" s="95"/>
      <c r="H8" s="95"/>
      <c r="I8" s="95"/>
      <c r="J8" s="95"/>
      <c r="K8" s="95"/>
      <c r="L8" s="95"/>
      <c r="M8" s="95"/>
      <c r="N8" s="95"/>
      <c r="O8" s="95"/>
      <c r="P8" s="95"/>
      <c r="Q8" s="95"/>
      <c r="R8" s="161"/>
      <c r="S8" s="95"/>
      <c r="T8" s="95"/>
      <c r="U8" s="95"/>
      <c r="V8" s="97"/>
      <c r="W8" s="97"/>
      <c r="X8" s="97"/>
      <c r="Y8" s="95"/>
      <c r="Z8" s="95"/>
      <c r="AA8" s="95"/>
      <c r="AB8" s="95"/>
      <c r="AC8" s="98"/>
    </row>
    <row r="9" spans="1:29" ht="26.25" customHeight="1" thickBot="1" x14ac:dyDescent="0.4">
      <c r="A9" s="520" t="s">
        <v>62</v>
      </c>
      <c r="B9" s="521"/>
      <c r="C9" s="521"/>
      <c r="D9" s="521"/>
      <c r="E9" s="521"/>
      <c r="F9" s="521"/>
      <c r="G9" s="522" t="s">
        <v>83</v>
      </c>
      <c r="H9" s="523"/>
      <c r="I9" s="523"/>
      <c r="J9" s="523"/>
      <c r="K9" s="523"/>
      <c r="L9" s="523"/>
      <c r="M9" s="523"/>
      <c r="N9" s="524"/>
      <c r="O9" s="522" t="s">
        <v>176</v>
      </c>
      <c r="P9" s="523"/>
      <c r="Q9" s="523"/>
      <c r="R9" s="523"/>
      <c r="S9" s="523"/>
      <c r="T9" s="523"/>
      <c r="U9" s="525" t="s">
        <v>202</v>
      </c>
      <c r="V9" s="526"/>
      <c r="W9" s="526"/>
      <c r="X9" s="526"/>
      <c r="Y9" s="526"/>
      <c r="Z9" s="526"/>
      <c r="AA9" s="527"/>
      <c r="AB9" s="522" t="s">
        <v>209</v>
      </c>
      <c r="AC9" s="528"/>
    </row>
    <row r="10" spans="1:29" ht="72" customHeight="1" thickBot="1" x14ac:dyDescent="0.4">
      <c r="A10" s="99" t="s">
        <v>563</v>
      </c>
      <c r="B10" s="100" t="s">
        <v>564</v>
      </c>
      <c r="C10" s="100" t="s">
        <v>565</v>
      </c>
      <c r="D10" s="100" t="s">
        <v>566</v>
      </c>
      <c r="E10" s="100" t="s">
        <v>567</v>
      </c>
      <c r="F10" s="100" t="s">
        <v>568</v>
      </c>
      <c r="G10" s="101" t="s">
        <v>569</v>
      </c>
      <c r="H10" s="101" t="s">
        <v>570</v>
      </c>
      <c r="I10" s="101" t="s">
        <v>571</v>
      </c>
      <c r="J10" s="101" t="s">
        <v>572</v>
      </c>
      <c r="K10" s="101" t="s">
        <v>573</v>
      </c>
      <c r="L10" s="101" t="s">
        <v>574</v>
      </c>
      <c r="M10" s="101" t="s">
        <v>575</v>
      </c>
      <c r="N10" s="102" t="s">
        <v>576</v>
      </c>
      <c r="O10" s="103" t="s">
        <v>577</v>
      </c>
      <c r="P10" s="103" t="s">
        <v>578</v>
      </c>
      <c r="Q10" s="103" t="s">
        <v>579</v>
      </c>
      <c r="R10" s="103" t="s">
        <v>580</v>
      </c>
      <c r="S10" s="103" t="s">
        <v>581</v>
      </c>
      <c r="T10" s="103" t="s">
        <v>582</v>
      </c>
      <c r="U10" s="101" t="s">
        <v>583</v>
      </c>
      <c r="V10" s="529" t="s">
        <v>584</v>
      </c>
      <c r="W10" s="530"/>
      <c r="X10" s="531"/>
      <c r="Y10" s="101" t="s">
        <v>585</v>
      </c>
      <c r="Z10" s="101" t="s">
        <v>586</v>
      </c>
      <c r="AA10" s="102" t="s">
        <v>587</v>
      </c>
      <c r="AB10" s="532" t="s">
        <v>681</v>
      </c>
      <c r="AC10" s="533"/>
    </row>
    <row r="11" spans="1:29" ht="18" customHeight="1" x14ac:dyDescent="0.35">
      <c r="A11" s="104">
        <f>'[1]Matriz de riesgos'!A11</f>
        <v>1</v>
      </c>
      <c r="B11" s="108">
        <f>+'[1]Matriz seguimiento (1)'!B11</f>
        <v>0</v>
      </c>
      <c r="C11" s="106">
        <f>+'[1]Matriz seguimiento (1)'!C11</f>
        <v>0</v>
      </c>
      <c r="D11" s="107">
        <f>+'[1]Matriz seguimiento (1)'!D11</f>
        <v>0</v>
      </c>
      <c r="E11" s="106">
        <f>+'[1]Matriz seguimiento (1)'!E11</f>
        <v>0</v>
      </c>
      <c r="F11" s="108">
        <f>+'[1]Matriz seguimiento (1)'!F11</f>
        <v>0</v>
      </c>
      <c r="G11" s="109"/>
      <c r="H11" s="110"/>
      <c r="I11" s="108"/>
      <c r="J11" s="108"/>
      <c r="K11" s="111" t="e">
        <f>MIN(LEFT(H11,2),LEFT(I11,2),LEFT(J11,2))</f>
        <v>#VALUE!</v>
      </c>
      <c r="L11" s="111" t="e">
        <f>MAX(LEFT(H11,2),LEFT(I11,2),LEFT(J11,2))</f>
        <v>#VALUE!</v>
      </c>
      <c r="M11" s="112" t="e">
        <f t="shared" ref="M11:M60" si="0">LEFT(G11,2)*(IF(K11&gt;=0,L11,MIN(K11:L11)))</f>
        <v>#VALUE!</v>
      </c>
      <c r="N11" s="113" t="e">
        <f>IF(AND(G11="4 - Alto",M11=-4),"MODERADO",VLOOKUP(M11,[1]Parámetros!$B$20:$C$70,2,FALSE))</f>
        <v>#VALUE!</v>
      </c>
      <c r="O11" s="109">
        <f>+'[1]Matriz seguimiento (1)'!O11</f>
        <v>0</v>
      </c>
      <c r="P11" s="109">
        <f>+'[1]Matriz seguimiento (1)'!P11</f>
        <v>0</v>
      </c>
      <c r="Q11" s="162">
        <f>+'[1]Matriz seguimiento (1)'!Q11</f>
        <v>0</v>
      </c>
      <c r="R11" s="108">
        <f>+'[1]Matriz seguimiento (1)'!R11</f>
        <v>0</v>
      </c>
      <c r="S11" s="109">
        <f>+'[1]Matriz seguimiento (1)'!S11</f>
        <v>0</v>
      </c>
      <c r="T11" s="108">
        <f>O11</f>
        <v>0</v>
      </c>
      <c r="U11" s="105">
        <f>+IF(AND(R11="Probabilidad",S11=0),G11,IF(AND(R11="Probabilidad",S11=-1,G11="5 - Muy alto"),"4 - alto",IF(AND(R11="Probabilidad",S11=-2,G11="5 - Muy alto"),"3 - Medio",IF(AND(R11="Probabilidad",S11=-1,G11="4 - Alto"),"3 - Medio",IF(AND(R11="Probabilidad",S11=-2,G11="4 - Alto"),"2 - Bajo",IF(AND(R11="Probabilidad",S11=-1,G11="3 - Medio"),"2 - Bajo",IF(AND(R11="Probabilidad",S11=-2,G11="3 - Medio"),"1 - Muy bajo",IF(AND(R11="Probabilidad",S11=-1,G11="2 - Bajo"),"1 - Muy bajo",IF(AND(R11="Probabilidad",S11=-2,G11="2 - Bajo"),"1 - Muy bajo",IF(AND(R11="Probabilidad",S11=-1,G11="1 - Muy bajo"),"1 - Muy bajo",IF(AND(R11="Probabilidad",S11=-2,G11="1 - Muy bajo"),"1 - Muy bajo",IF(AND(R11="Probabilidad-impacto",S11=-2,G11="5 - Muy alto"),"3 - Medio",IF(AND(R11="Probabilidad-impacto",S11=-1,G11="5 - Muy alto"),"4 - Alto",IF(AND(R11="Probabilidad-impacto",S11=-2,G11="4 - Alto"),"2 - Bajo",IF(AND(R11="Probabilidad-impacto",S11=-1,G11="4 - Alto"),"3 - Medio",IF(AND(R11="Probabilidad-impacto",S11=-2,G11="3 - Medio"),"1 - Muy bajo",IF(AND(R11="Probabilidad-impacto",S11=-1,G11="3 - Medio"),"2 - Bajo",IF(AND(R11="Probabilidad-impacto",S11=-2,G11="2 - Bajo"),"1 - Muy bajo",IF(AND(R11="Probabilidad-impacto",S11=-1,G11="2 - Bajo"),"1 - Muy bajo",IF(AND(R11="Probabilidad-impacto",S11=-2,G11="1 - Muy bajo"),"1 - Muy bajo",IF(AND(R11="Probabilidad-impacto",S11=-1,G11="1 - Muy bajo"),"1 - Muy bajo",IF(AND(R11="Probabilidad",S11=1,G11="5 - Muy alto"),"5 - Muy alto",IF(AND(R11="Probabilidad",S11=2,G11="5 - Muy alto"),"5 - Muy alto",IF(AND(R11="Probabilidad",S11=1,G11="4 - Alto"),"5 - Muy alto",IF(AND(R11="Probabilidad",S11=2,G11="4 - Alto"),"5 - Muy alto",IF(AND(R11="Probabilidad",S11=1,G11="3 - Medio"),"4 - Alto",IF(AND(R11="Probabilidad",S11=2,G11="3 - Medio"),"5 - Muy alto",IF(AND(R11="Probabilidad",S11=1,G11="2 - Bajo"),"3 - Medio",IF(AND(R11="Probabilidad",S11=2,G11="2 - Bajo"),"4 - Alto",IF(AND(R11="Probabilidad",S11=1,G11="1 - Muy bajo"),"2 - Bajo",IF(AND(R11="Probabilidad",S11=2,G11="1 - Muy bajo"),"3 - Medio",IF(AND(R11="Probabilidad-impacto",S11=2,G11="5 - Muy alto"),"5 - Muy alto",IF(AND(R11="Probabilidad-impacto",S11=1,G11="5 - Muy alto"),"5 - Muy alto",IF(AND(R11="Probabilidad-impacto",S11=2,G11="4 - Alto"),"5 - Muy alto",IF(AND(R11="Probabilidad-impacto",S11=1,G11="4 - Alto"),"5 - Muy alto",IF(AND(R11="Probabilidad-impacto",S11=2,G11="3 - Medio"),"5 - Muy alto",IF(AND(R11="Probabilidad-impacto",S11=1,G11="3 - Medio"),"4 - Alto",IF(AND(R11="Probabilidad-impacto",S11=2,G11="2 - Bajo"),"4 - Alto",IF(AND(R11="Probabilidad-impacto",S11=1,G11="2 - Bajo"),"3 - Medio",IF(AND(R11="Probabilidad-impacto",S11=2,G11="1 - Muy bajo"),"3 - Medio",IF(AND(R11="Probabilidad-impacto",S11=1,G11="1 - Muy bajo"),"2 - Bajo",G11)))))))))))))))))))))))))))))))))))))))))</f>
        <v>0</v>
      </c>
      <c r="V11" s="110" t="e">
        <f>IF(AND(R11="Impacto",S11=0),K11,IF(AND(R11="Impacto",S11=-2,K11=-5),"-3",IF(AND(R11="Impacto",S11=-1,K11=-5),"-4",IF(AND(R11="Impacto",S11=-2,K11=-4),"-2",IF(AND(R11="Impacto",S11=-1,K11=-4),"-3",IF(AND(R11="Impacto",S11=-2,K11=-3),"-1",IF(AND(R11="Impacto",S11=-1,K11=-3),"-2",IF(AND(R11="Impacto",S11=-2,K11=-2),"-1",IF(AND(R11="Impacto",S11=-1,K11=-2),"-1",IF(AND(R11="Impacto",S11=-2,K11=-1),"-1",IF(AND(R11="Impacto",S11=-1,K11=-1),"-1",IF(AND(R11="Probabilidad-impacto",S11=-2,K11=-5),"-3",IF(AND(R11="Probabilidad-impacto",S11=-1,K11=-5),"-4",IF(AND(R11="Probabilidad-impacto",S11=-2,K11=-4),"-2",IF(AND(R11="Probabilidad-impacto",S11=-1,K11=-4),"-3",IF(AND(R11="Probabilidad-impacto",S11=-2,K11=-3),"-1",IF(AND(R11="Probabilidad-impacto",S11=-1,K11=-3),"-2",IF(AND(R11="Probabilidad-impacto",S11=-2,K11=-2),"-1",IF(AND(R11="Probabilidad-impacto",S11=-1,K11=-2),"-1",IF(AND(R11="Probabilidad-impacto",S11=-2,K11=-1),"-1",IF(AND(R11="Probabilidad-impacto",S11=-1,K11=-1),"-1",K11)))))))))))))))))))))</f>
        <v>#VALUE!</v>
      </c>
      <c r="W11" s="110" t="e">
        <f>IF(AND(R11="Impacto",S11=0),L11,IF(AND(R11="Impacto",S11=2,L11=5),"5",IF(AND(R11="Impacto",S11=1,L11=5),"5",IF(AND(R11="Impacto",S11=2,L11=4),"5",IF(AND(R11="Impacto",S11=1,L11=4),"5",IF(AND(R11="Impacto",S11=2,L11=3),"5",IF(AND(R11="Impacto",S11=1,L11=3),"4",IF(AND(R11="Impacto",S11=2,L11=2),"4",IF(AND(R11="Impacto",S11=1,L11=2),"3",IF(AND(R11="Impacto",S11=2,L11=1),"3",IF(AND(R11="Impacto",S11=1,L11=1),"2",IF(AND(R11="Probabilidad-impacto",S11=2,L11=5),"5",IF(AND(R11="Probabilidad-impacto",S11=1,L11=5),"5",IF(AND(R11="Probabilidad-impacto",S11=2,L11=4),"5",IF(AND(R11="Probabilidad-impacto",S11=1,L11=4),"5",IF(AND(R11="Probabilidad-impacto",S11=2,L11=3),"5",IF(AND(R11="Probabilidad-impacto",S11=1,L11=3),"4",IF(AND(R11="Probabilidad-impacto",S11=2,L11=2),"4",IF(AND(R11="Probabilidad-impacto",S11=1,L11=2),"3",IF(AND(R11="Probabilidad-impacto",S11=2,L11=1),"3",IF(AND(R11="Probabilidad-impacto",S11=1,L11=1),"2",L11)))))))))))))))))))))</f>
        <v>#VALUE!</v>
      </c>
      <c r="X11" s="110" t="e">
        <f>IF(W11&gt;0,W11*1,V11*1)</f>
        <v>#VALUE!</v>
      </c>
      <c r="Y11" s="105" t="e">
        <f>IF(X11=-1,"-1 Muy bajo",IF(X11=-2,"-2 Bajo",IF(X11=-3,"-3 Medio",IF(X11=-4,"-4 Muy alto",IF(X11=-5,"-5 Muy alto",IF(X11=1,"1 Muy bajo",IF(X11=2,"2 Bajo",IF(X11=3,"3 Medio",IF(X11=4,"4 Muy alto",IF(X11=5,"5 Muy alto",0))))))))))</f>
        <v>#VALUE!</v>
      </c>
      <c r="Z11" s="113" t="e">
        <f t="shared" ref="Z11:Z60" si="1">LEFT(U11,2)*(LEFT(Y11,2))</f>
        <v>#VALUE!</v>
      </c>
      <c r="AA11" s="163" t="e">
        <f>IF(AND(U11="4 - Alto",Z11=-4),"MODERADO",VLOOKUP(Z11,[1]Parámetros!$B$20:$C$70,2,FALSE))</f>
        <v>#VALUE!</v>
      </c>
      <c r="AB11" s="534"/>
      <c r="AC11" s="535"/>
    </row>
    <row r="12" spans="1:29" ht="15.5" x14ac:dyDescent="0.35">
      <c r="A12" s="114">
        <f>'[1]Matriz de riesgos'!A12</f>
        <v>2</v>
      </c>
      <c r="B12" s="120">
        <f>+'[1]Matriz seguimiento (1)'!B12</f>
        <v>0</v>
      </c>
      <c r="C12" s="164">
        <f>+'[1]Matriz seguimiento (1)'!C12</f>
        <v>0</v>
      </c>
      <c r="D12" s="115">
        <f>+'[1]Matriz seguimiento (1)'!D12</f>
        <v>0</v>
      </c>
      <c r="E12" s="116">
        <f>+'[1]Matriz seguimiento (1)'!E12</f>
        <v>0</v>
      </c>
      <c r="F12" s="117">
        <f>+'[1]Matriz seguimiento (1)'!F12</f>
        <v>0</v>
      </c>
      <c r="G12" s="118"/>
      <c r="H12" s="119"/>
      <c r="I12" s="120"/>
      <c r="J12" s="120"/>
      <c r="K12" s="121" t="e">
        <f>MIN(LEFT(H12,2),LEFT(I12,2),LEFT(J12,2))</f>
        <v>#VALUE!</v>
      </c>
      <c r="L12" s="121" t="e">
        <f>MAX(LEFT(H12,2),LEFT(I12,2),LEFT(J12,2))</f>
        <v>#VALUE!</v>
      </c>
      <c r="M12" s="122" t="e">
        <f t="shared" si="0"/>
        <v>#VALUE!</v>
      </c>
      <c r="N12" s="124" t="e">
        <f>IF(AND(G12="4 - Alto",M12=-4),"MODERADO",VLOOKUP(M12,[1]Parámetros!$B$20:$C$70,2,FALSE))</f>
        <v>#VALUE!</v>
      </c>
      <c r="O12" s="118">
        <f>+'[1]Matriz seguimiento (1)'!O12</f>
        <v>0</v>
      </c>
      <c r="P12" s="118">
        <f>+'[1]Matriz seguimiento (1)'!P12</f>
        <v>0</v>
      </c>
      <c r="Q12" s="123">
        <f>+'[1]Matriz seguimiento (1)'!Q12</f>
        <v>0</v>
      </c>
      <c r="R12" s="119">
        <f>+'[1]Matriz seguimiento (1)'!R12</f>
        <v>0</v>
      </c>
      <c r="S12" s="118">
        <f>+'[1]Matriz seguimiento (1)'!S12</f>
        <v>0</v>
      </c>
      <c r="T12" s="119">
        <f>O12</f>
        <v>0</v>
      </c>
      <c r="U12" s="118">
        <f t="shared" ref="U12:U60" si="2">+IF(AND(R12="Probabilidad",S12=0),G12,IF(AND(R12="Probabilidad",S12=-1,G12="5 - Muy alto"),"4 - alto",IF(AND(R12="Probabilidad",S12=-2,G12="5 - Muy alto"),"3 - Medio",IF(AND(R12="Probabilidad",S12=-1,G12="4 - Alto"),"3 - Medio",IF(AND(R12="Probabilidad",S12=-2,G12="4 - Alto"),"2 - Bajo",IF(AND(R12="Probabilidad",S12=-1,G12="3 - Medio"),"2 - Bajo",IF(AND(R12="Probabilidad",S12=-2,G12="3 - Medio"),"1 - Muy bajo",IF(AND(R12="Probabilidad",S12=-1,G12="2 - Bajo"),"1 - Muy bajo",IF(AND(R12="Probabilidad",S12=-2,G12="2 - Bajo"),"1 - Muy bajo",IF(AND(R12="Probabilidad",S12=-1,G12="1 - Muy bajo"),"1 - Muy bajo",IF(AND(R12="Probabilidad",S12=-2,G12="1 - Muy bajo"),"1 - Muy bajo",IF(AND(R12="Probabilidad-impacto",S12=-2,G12="5 - Muy alto"),"3 - Medio",IF(AND(R12="Probabilidad-impacto",S12=-1,G12="5 - Muy alto"),"4 - Alto",IF(AND(R12="Probabilidad-impacto",S12=-2,G12="4 - Alto"),"2 - Bajo",IF(AND(R12="Probabilidad-impacto",S12=-1,G12="4 - Alto"),"3 - Medio",IF(AND(R12="Probabilidad-impacto",S12=-2,G12="3 - Medio"),"1 - Muy bajo",IF(AND(R12="Probabilidad-impacto",S12=-1,G12="3 - Medio"),"2 - Bajo",IF(AND(R12="Probabilidad-impacto",S12=-2,G12="2 - Bajo"),"1 - Muy bajo",IF(AND(R12="Probabilidad-impacto",S12=-1,G12="2 - Bajo"),"1 - Muy bajo",IF(AND(R12="Probabilidad-impacto",S12=-2,G12="1 - Muy bajo"),"1 - Muy bajo",IF(AND(R12="Probabilidad-impacto",S12=-1,G12="1 - Muy bajo"),"1 - Muy bajo",IF(AND(R12="Probabilidad",S12=1,G12="5 - Muy alto"),"5 - Muy alto",IF(AND(R12="Probabilidad",S12=2,G12="5 - Muy alto"),"5 - Muy alto",IF(AND(R12="Probabilidad",S12=1,G12="4 - Alto"),"5 - Muy alto",IF(AND(R12="Probabilidad",S12=2,G12="4 - Alto"),"5 - Muy alto",IF(AND(R12="Probabilidad",S12=1,G12="3 - Medio"),"4 - Alto",IF(AND(R12="Probabilidad",S12=2,G12="3 - Medio"),"5 - Muy alto",IF(AND(R12="Probabilidad",S12=1,G12="2 - Bajo"),"3 - Medio",IF(AND(R12="Probabilidad",S12=2,G12="2 - Bajo"),"4 - Alto",IF(AND(R12="Probabilidad",S12=1,G12="1 - Muy bajo"),"2 - Bajo",IF(AND(R12="Probabilidad",S12=2,G12="1 - Muy bajo"),"3 - Medio",IF(AND(R12="Probabilidad-impacto",S12=2,G12="5 - Muy alto"),"5 - Muy alto",IF(AND(R12="Probabilidad-impacto",S12=1,G12="5 - Muy alto"),"5 - Muy alto",IF(AND(R12="Probabilidad-impacto",S12=2,G12="4 - Alto"),"5 - Muy alto",IF(AND(R12="Probabilidad-impacto",S12=1,G12="4 - Alto"),"5 - Muy alto",IF(AND(R12="Probabilidad-impacto",S12=2,G12="3 - Medio"),"5 - Muy alto",IF(AND(R12="Probabilidad-impacto",S12=1,G12="3 - Medio"),"4 - Alto",IF(AND(R12="Probabilidad-impacto",S12=2,G12="2 - Bajo"),"4 - Alto",IF(AND(R12="Probabilidad-impacto",S12=1,G12="2 - Bajo"),"3 - Medio",IF(AND(R12="Probabilidad-impacto",S12=2,G12="1 - Muy bajo"),"3 - Medio",IF(AND(R12="Probabilidad-impacto",S12=1,G12="1 - Muy bajo"),"2 - Bajo",G12)))))))))))))))))))))))))))))))))))))))))</f>
        <v>0</v>
      </c>
      <c r="V12" s="119" t="e">
        <f t="shared" ref="V12:V60" si="3">IF(AND(R12="Impacto",S12=0),K12,IF(AND(R12="Impacto",S12=-2,K12=-5),"-3",IF(AND(R12="Impacto",S12=-1,K12=-5),"-4",IF(AND(R12="Impacto",S12=-2,K12=-4),"-2",IF(AND(R12="Impacto",S12=-1,K12=-4),"-3",IF(AND(R12="Impacto",S12=-2,K12=-3),"-1",IF(AND(R12="Impacto",S12=-1,K12=-3),"-2",IF(AND(R12="Impacto",S12=-2,K12=-2),"-1",IF(AND(R12="Impacto",S12=-1,K12=-2),"-1",IF(AND(R12="Impacto",S12=-2,K12=-1),"-1",IF(AND(R12="Impacto",S12=-1,K12=-1),"-1",IF(AND(R12="Probabilidad-impacto",S12=-2,K12=-5),"-3",IF(AND(R12="Probabilidad-impacto",S12=-1,K12=-5),"-4",IF(AND(R12="Probabilidad-impacto",S12=-2,K12=-4),"-2",IF(AND(R12="Probabilidad-impacto",S12=-1,K12=-4),"-3",IF(AND(R12="Probabilidad-impacto",S12=-2,K12=-3),"-1",IF(AND(R12="Probabilidad-impacto",S12=-1,K12=-3),"-2",IF(AND(R12="Probabilidad-impacto",S12=-2,K12=-2),"-1",IF(AND(R12="Probabilidad-impacto",S12=-1,K12=-2),"-1",IF(AND(R12="Probabilidad-impacto",S12=-2,K12=-1),"-1",IF(AND(R12="Probabilidad-impacto",S12=-1,K12=-1),"-1",K12)))))))))))))))))))))</f>
        <v>#VALUE!</v>
      </c>
      <c r="W12" s="119" t="e">
        <f t="shared" ref="W12:W60" si="4">IF(AND(R12="Impacto",S12=0),L12,IF(AND(R12="Impacto",S12=2,L12=5),"5",IF(AND(R12="Impacto",S12=1,L12=5),"5",IF(AND(R12="Impacto",S12=2,L12=4),"5",IF(AND(R12="Impacto",S12=1,L12=4),"5",IF(AND(R12="Impacto",S12=2,L12=3),"5",IF(AND(R12="Impacto",S12=1,L12=3),"4",IF(AND(R12="Impacto",S12=2,L12=2),"4",IF(AND(R12="Impacto",S12=1,L12=2),"3",IF(AND(R12="Impacto",S12=2,L12=1),"3",IF(AND(R12="Impacto",S12=1,L12=1),"2",IF(AND(R12="Probabilidad-impacto",S12=2,L12=5),"5",IF(AND(R12="Probabilidad-impacto",S12=1,L12=5),"5",IF(AND(R12="Probabilidad-impacto",S12=2,L12=4),"5",IF(AND(R12="Probabilidad-impacto",S12=1,L12=4),"5",IF(AND(R12="Probabilidad-impacto",S12=2,L12=3),"5",IF(AND(R12="Probabilidad-impacto",S12=1,L12=3),"4",IF(AND(R12="Probabilidad-impacto",S12=2,L12=2),"4",IF(AND(R12="Probabilidad-impacto",S12=1,L12=2),"3",IF(AND(R12="Probabilidad-impacto",S12=2,L12=1),"3",IF(AND(R12="Probabilidad-impacto",S12=1,L12=1),"2",L12)))))))))))))))))))))</f>
        <v>#VALUE!</v>
      </c>
      <c r="X12" s="119" t="e">
        <f t="shared" ref="X12:X60" si="5">IF(W12&gt;0,W12*1,V12*1)</f>
        <v>#VALUE!</v>
      </c>
      <c r="Y12" s="118" t="e">
        <f t="shared" ref="Y12:Y60" si="6">IF(X12=-1,"-1 Muy bajo",IF(X12=-2,"-2 Bajo",IF(X12=-3,"-3 Medio",IF(X12=-4,"-4 Muy alto",IF(X12=-5,"-5 Muy alto",IF(X12=1,"1 Muy bajo",IF(X12=2,"2 Bajo",IF(X12=3,"3 Medio",IF(X12=4,"4 Muy alto",IF(X12=5,"5 Muy alto",0))))))))))</f>
        <v>#VALUE!</v>
      </c>
      <c r="Z12" s="124" t="e">
        <f t="shared" si="1"/>
        <v>#VALUE!</v>
      </c>
      <c r="AA12" s="165" t="e">
        <f>IF(AND(U12="4 - Alto",Z12=-4),"MODERADO",VLOOKUP(Z12,[1]Parámetros!$B$20:$C$70,2,FALSE))</f>
        <v>#VALUE!</v>
      </c>
      <c r="AB12" s="504"/>
      <c r="AC12" s="505"/>
    </row>
    <row r="13" spans="1:29" ht="15.5" x14ac:dyDescent="0.35">
      <c r="A13" s="125">
        <f>'[1]Matriz de riesgos'!A13</f>
        <v>3</v>
      </c>
      <c r="B13" s="129">
        <f>+'[1]Matriz seguimiento (1)'!B13</f>
        <v>0</v>
      </c>
      <c r="C13" s="126">
        <f>+'[1]Matriz seguimiento (1)'!C13</f>
        <v>0</v>
      </c>
      <c r="D13" s="126">
        <f>+'[1]Matriz seguimiento (1)'!D13</f>
        <v>0</v>
      </c>
      <c r="E13" s="126">
        <f>+'[1]Matriz seguimiento (1)'!E13</f>
        <v>0</v>
      </c>
      <c r="F13" s="129">
        <f>+'[1]Matriz seguimiento (1)'!F13</f>
        <v>0</v>
      </c>
      <c r="G13" s="128"/>
      <c r="H13" s="127"/>
      <c r="I13" s="129"/>
      <c r="J13" s="129"/>
      <c r="K13" s="130" t="e">
        <f>MIN(LEFT(H13,2),LEFT(I13,2),LEFT(J13,2))</f>
        <v>#VALUE!</v>
      </c>
      <c r="L13" s="130" t="e">
        <f>MAX(LEFT(H13,2),LEFT(I13,2),LEFT(J13,2))</f>
        <v>#VALUE!</v>
      </c>
      <c r="M13" s="131" t="e">
        <f t="shared" si="0"/>
        <v>#VALUE!</v>
      </c>
      <c r="N13" s="132" t="e">
        <f>IF(AND(G13="4 - Alto",M13=-4),"MODERADO",VLOOKUP(M13,[1]Parámetros!$B$20:$C$70,2,FALSE))</f>
        <v>#VALUE!</v>
      </c>
      <c r="O13" s="128">
        <f>+'[1]Matriz seguimiento (1)'!O13</f>
        <v>0</v>
      </c>
      <c r="P13" s="128">
        <f>+'[1]Matriz seguimiento (1)'!P13</f>
        <v>0</v>
      </c>
      <c r="Q13" s="133">
        <f>+'[1]Matriz seguimiento (1)'!Q13</f>
        <v>0</v>
      </c>
      <c r="R13" s="127">
        <f>+'[1]Matriz seguimiento (1)'!R13</f>
        <v>0</v>
      </c>
      <c r="S13" s="128">
        <f>+'[1]Matriz seguimiento (1)'!S13</f>
        <v>0</v>
      </c>
      <c r="T13" s="129">
        <f t="shared" ref="T13:T60" si="7">O13</f>
        <v>0</v>
      </c>
      <c r="U13" s="128">
        <f t="shared" si="2"/>
        <v>0</v>
      </c>
      <c r="V13" s="127" t="e">
        <f t="shared" si="3"/>
        <v>#VALUE!</v>
      </c>
      <c r="W13" s="127" t="e">
        <f t="shared" si="4"/>
        <v>#VALUE!</v>
      </c>
      <c r="X13" s="127" t="e">
        <f t="shared" si="5"/>
        <v>#VALUE!</v>
      </c>
      <c r="Y13" s="128" t="e">
        <f t="shared" si="6"/>
        <v>#VALUE!</v>
      </c>
      <c r="Z13" s="132" t="e">
        <f t="shared" si="1"/>
        <v>#VALUE!</v>
      </c>
      <c r="AA13" s="166" t="e">
        <f>IF(AND(U13="4 - Alto",Z13=-4),"MODERADO",VLOOKUP(Z13,[1]Parámetros!$B$20:$C$70,2,FALSE))</f>
        <v>#VALUE!</v>
      </c>
      <c r="AB13" s="502"/>
      <c r="AC13" s="503"/>
    </row>
    <row r="14" spans="1:29" ht="15.5" x14ac:dyDescent="0.35">
      <c r="A14" s="114">
        <f>'[1]Matriz de riesgos'!A14</f>
        <v>4</v>
      </c>
      <c r="B14" s="120">
        <f>+'[1]Matriz seguimiento (1)'!B14</f>
        <v>0</v>
      </c>
      <c r="C14" s="164">
        <f>+'[1]Matriz seguimiento (1)'!C14</f>
        <v>0</v>
      </c>
      <c r="D14" s="115">
        <f>+'[1]Matriz seguimiento (1)'!D14</f>
        <v>0</v>
      </c>
      <c r="E14" s="116">
        <f>+'[1]Matriz seguimiento (1)'!E14</f>
        <v>0</v>
      </c>
      <c r="F14" s="117">
        <f>+'[1]Matriz seguimiento (1)'!F14</f>
        <v>0</v>
      </c>
      <c r="G14" s="119"/>
      <c r="H14" s="119"/>
      <c r="I14" s="120"/>
      <c r="J14" s="120"/>
      <c r="K14" s="121" t="e">
        <f t="shared" ref="K14:K60" si="8">MIN(LEFT(H14,2),LEFT(I14,2),LEFT(J14,2))</f>
        <v>#VALUE!</v>
      </c>
      <c r="L14" s="121" t="e">
        <f t="shared" ref="L14:L60" si="9">MAX(LEFT(H14,2),LEFT(I14,2),LEFT(J14,2))</f>
        <v>#VALUE!</v>
      </c>
      <c r="M14" s="122" t="e">
        <f t="shared" si="0"/>
        <v>#VALUE!</v>
      </c>
      <c r="N14" s="124" t="e">
        <f>IF(AND(G14="4 - Alto",M14=-4),"MODERADO",VLOOKUP(M14,[1]Parámetros!$B$20:$C$70,2,FALSE))</f>
        <v>#VALUE!</v>
      </c>
      <c r="O14" s="118">
        <f>+'[1]Matriz seguimiento (1)'!O14</f>
        <v>0</v>
      </c>
      <c r="P14" s="118">
        <f>+'[1]Matriz seguimiento (1)'!P14</f>
        <v>0</v>
      </c>
      <c r="Q14" s="123">
        <f>+'[1]Matriz seguimiento (1)'!Q14</f>
        <v>0</v>
      </c>
      <c r="R14" s="119">
        <f>+'[1]Matriz seguimiento (1)'!R14</f>
        <v>0</v>
      </c>
      <c r="S14" s="118">
        <f>+'[1]Matriz seguimiento (1)'!S14</f>
        <v>0</v>
      </c>
      <c r="T14" s="119">
        <f>O14</f>
        <v>0</v>
      </c>
      <c r="U14" s="118">
        <f t="shared" si="2"/>
        <v>0</v>
      </c>
      <c r="V14" s="119" t="e">
        <f t="shared" si="3"/>
        <v>#VALUE!</v>
      </c>
      <c r="W14" s="119" t="e">
        <f t="shared" si="4"/>
        <v>#VALUE!</v>
      </c>
      <c r="X14" s="119" t="e">
        <f t="shared" si="5"/>
        <v>#VALUE!</v>
      </c>
      <c r="Y14" s="118" t="e">
        <f t="shared" si="6"/>
        <v>#VALUE!</v>
      </c>
      <c r="Z14" s="124" t="e">
        <f t="shared" si="1"/>
        <v>#VALUE!</v>
      </c>
      <c r="AA14" s="165" t="e">
        <f>IF(AND(U14="4 - Alto",Z14=-4),"MODERADO",VLOOKUP(Z14,[1]Parámetros!$B$20:$C$70,2,FALSE))</f>
        <v>#VALUE!</v>
      </c>
      <c r="AB14" s="504"/>
      <c r="AC14" s="505"/>
    </row>
    <row r="15" spans="1:29" ht="15.5" x14ac:dyDescent="0.35">
      <c r="A15" s="125">
        <f>'[1]Matriz de riesgos'!A15</f>
        <v>5</v>
      </c>
      <c r="B15" s="129">
        <f>+'[1]Matriz seguimiento (1)'!B15</f>
        <v>0</v>
      </c>
      <c r="C15" s="126">
        <f>+'[1]Matriz seguimiento (1)'!C15</f>
        <v>0</v>
      </c>
      <c r="D15" s="126">
        <f>+'[1]Matriz seguimiento (1)'!D15</f>
        <v>0</v>
      </c>
      <c r="E15" s="126">
        <f>+'[1]Matriz seguimiento (1)'!E15</f>
        <v>0</v>
      </c>
      <c r="F15" s="129">
        <f>+'[1]Matriz seguimiento (1)'!F15</f>
        <v>0</v>
      </c>
      <c r="G15" s="128"/>
      <c r="H15" s="127"/>
      <c r="I15" s="129"/>
      <c r="J15" s="129"/>
      <c r="K15" s="130" t="e">
        <f t="shared" si="8"/>
        <v>#VALUE!</v>
      </c>
      <c r="L15" s="130" t="e">
        <f t="shared" si="9"/>
        <v>#VALUE!</v>
      </c>
      <c r="M15" s="131" t="e">
        <f t="shared" si="0"/>
        <v>#VALUE!</v>
      </c>
      <c r="N15" s="132" t="e">
        <f>IF(AND(G15="4 - Alto",M15=-4),"MODERADO",VLOOKUP(M15,[1]Parámetros!$B$20:$C$70,2,FALSE))</f>
        <v>#VALUE!</v>
      </c>
      <c r="O15" s="128">
        <f>+'[1]Matriz seguimiento (1)'!O15</f>
        <v>0</v>
      </c>
      <c r="P15" s="128">
        <f>+'[1]Matriz seguimiento (1)'!P15</f>
        <v>0</v>
      </c>
      <c r="Q15" s="133">
        <f>+'[1]Matriz seguimiento (1)'!Q15</f>
        <v>0</v>
      </c>
      <c r="R15" s="127">
        <f>+'[1]Matriz seguimiento (1)'!R15</f>
        <v>0</v>
      </c>
      <c r="S15" s="128">
        <f>+'[1]Matriz seguimiento (1)'!S15</f>
        <v>0</v>
      </c>
      <c r="T15" s="129">
        <f t="shared" si="7"/>
        <v>0</v>
      </c>
      <c r="U15" s="128">
        <f t="shared" si="2"/>
        <v>0</v>
      </c>
      <c r="V15" s="127" t="e">
        <f t="shared" si="3"/>
        <v>#VALUE!</v>
      </c>
      <c r="W15" s="127" t="e">
        <f t="shared" si="4"/>
        <v>#VALUE!</v>
      </c>
      <c r="X15" s="127" t="e">
        <f t="shared" si="5"/>
        <v>#VALUE!</v>
      </c>
      <c r="Y15" s="128" t="e">
        <f t="shared" si="6"/>
        <v>#VALUE!</v>
      </c>
      <c r="Z15" s="132" t="e">
        <f t="shared" si="1"/>
        <v>#VALUE!</v>
      </c>
      <c r="AA15" s="166" t="e">
        <f>IF(AND(U15="4 - Alto",Z15=-4),"MODERADO",VLOOKUP(Z15,[1]Parámetros!$B$20:$C$70,2,FALSE))</f>
        <v>#VALUE!</v>
      </c>
      <c r="AB15" s="502"/>
      <c r="AC15" s="503"/>
    </row>
    <row r="16" spans="1:29" ht="15.5" x14ac:dyDescent="0.35">
      <c r="A16" s="114">
        <f>'[1]Matriz de riesgos'!A16</f>
        <v>6</v>
      </c>
      <c r="B16" s="120">
        <f>+'[1]Matriz seguimiento (1)'!B16</f>
        <v>0</v>
      </c>
      <c r="C16" s="164">
        <f>+'[1]Matriz seguimiento (1)'!C16</f>
        <v>0</v>
      </c>
      <c r="D16" s="115">
        <f>+'[1]Matriz seguimiento (1)'!D16</f>
        <v>0</v>
      </c>
      <c r="E16" s="116">
        <f>+'[1]Matriz seguimiento (1)'!E16</f>
        <v>0</v>
      </c>
      <c r="F16" s="117">
        <f>+'[1]Matriz seguimiento (1)'!F16</f>
        <v>0</v>
      </c>
      <c r="G16" s="118"/>
      <c r="H16" s="119"/>
      <c r="I16" s="120"/>
      <c r="J16" s="120"/>
      <c r="K16" s="121" t="e">
        <f t="shared" si="8"/>
        <v>#VALUE!</v>
      </c>
      <c r="L16" s="121" t="e">
        <f t="shared" si="9"/>
        <v>#VALUE!</v>
      </c>
      <c r="M16" s="122" t="e">
        <f t="shared" si="0"/>
        <v>#VALUE!</v>
      </c>
      <c r="N16" s="124" t="e">
        <f>IF(AND(G16="4 - Alto",M16=-4),"MODERADO",VLOOKUP(M16,[1]Parámetros!$B$20:$C$70,2,FALSE))</f>
        <v>#VALUE!</v>
      </c>
      <c r="O16" s="118">
        <f>+'[1]Matriz seguimiento (1)'!O16</f>
        <v>0</v>
      </c>
      <c r="P16" s="118">
        <f>+'[1]Matriz seguimiento (1)'!P16</f>
        <v>0</v>
      </c>
      <c r="Q16" s="123">
        <f>+'[1]Matriz seguimiento (1)'!Q16</f>
        <v>0</v>
      </c>
      <c r="R16" s="119">
        <f>+'[1]Matriz seguimiento (1)'!R16</f>
        <v>0</v>
      </c>
      <c r="S16" s="118">
        <f>+'[1]Matriz seguimiento (1)'!S16</f>
        <v>0</v>
      </c>
      <c r="T16" s="119">
        <f t="shared" si="7"/>
        <v>0</v>
      </c>
      <c r="U16" s="118">
        <f t="shared" si="2"/>
        <v>0</v>
      </c>
      <c r="V16" s="119" t="e">
        <f t="shared" si="3"/>
        <v>#VALUE!</v>
      </c>
      <c r="W16" s="119" t="e">
        <f t="shared" si="4"/>
        <v>#VALUE!</v>
      </c>
      <c r="X16" s="119" t="e">
        <f t="shared" si="5"/>
        <v>#VALUE!</v>
      </c>
      <c r="Y16" s="118" t="e">
        <f t="shared" si="6"/>
        <v>#VALUE!</v>
      </c>
      <c r="Z16" s="124" t="e">
        <f t="shared" si="1"/>
        <v>#VALUE!</v>
      </c>
      <c r="AA16" s="165" t="e">
        <f>IF(AND(U16="4 - Alto",Z16=-4),"MODERADO",VLOOKUP(Z16,[1]Parámetros!$B$20:$C$70,2,FALSE))</f>
        <v>#VALUE!</v>
      </c>
      <c r="AB16" s="504"/>
      <c r="AC16" s="505"/>
    </row>
    <row r="17" spans="1:29" ht="15.5" x14ac:dyDescent="0.35">
      <c r="A17" s="125">
        <f>'[1]Matriz de riesgos'!A17</f>
        <v>7</v>
      </c>
      <c r="B17" s="129">
        <f>+'[1]Matriz seguimiento (1)'!B17</f>
        <v>0</v>
      </c>
      <c r="C17" s="126">
        <f>+'[1]Matriz seguimiento (1)'!C17</f>
        <v>0</v>
      </c>
      <c r="D17" s="126">
        <f>+'[1]Matriz seguimiento (1)'!D17</f>
        <v>0</v>
      </c>
      <c r="E17" s="126">
        <f>+'[1]Matriz seguimiento (1)'!E17</f>
        <v>0</v>
      </c>
      <c r="F17" s="129">
        <f>+'[1]Matriz seguimiento (1)'!F17</f>
        <v>0</v>
      </c>
      <c r="G17" s="128"/>
      <c r="H17" s="127"/>
      <c r="I17" s="129"/>
      <c r="J17" s="129"/>
      <c r="K17" s="130" t="e">
        <f t="shared" si="8"/>
        <v>#VALUE!</v>
      </c>
      <c r="L17" s="130" t="e">
        <f t="shared" si="9"/>
        <v>#VALUE!</v>
      </c>
      <c r="M17" s="131" t="e">
        <f t="shared" si="0"/>
        <v>#VALUE!</v>
      </c>
      <c r="N17" s="132" t="e">
        <f>IF(AND(G17="4 - Alto",M17=-4),"MODERADO",VLOOKUP(M17,[1]Parámetros!$B$20:$C$70,2,FALSE))</f>
        <v>#VALUE!</v>
      </c>
      <c r="O17" s="128">
        <f>+'[1]Matriz seguimiento (1)'!O17</f>
        <v>0</v>
      </c>
      <c r="P17" s="128">
        <f>+'[1]Matriz seguimiento (1)'!P17</f>
        <v>0</v>
      </c>
      <c r="Q17" s="133">
        <f>+'[1]Matriz seguimiento (1)'!Q17</f>
        <v>0</v>
      </c>
      <c r="R17" s="127">
        <f>+'[1]Matriz seguimiento (1)'!R17</f>
        <v>0</v>
      </c>
      <c r="S17" s="128">
        <f>+'[1]Matriz seguimiento (1)'!S17</f>
        <v>0</v>
      </c>
      <c r="T17" s="129">
        <f t="shared" si="7"/>
        <v>0</v>
      </c>
      <c r="U17" s="128">
        <f t="shared" si="2"/>
        <v>0</v>
      </c>
      <c r="V17" s="127" t="e">
        <f t="shared" si="3"/>
        <v>#VALUE!</v>
      </c>
      <c r="W17" s="127" t="e">
        <f t="shared" si="4"/>
        <v>#VALUE!</v>
      </c>
      <c r="X17" s="127" t="e">
        <f t="shared" si="5"/>
        <v>#VALUE!</v>
      </c>
      <c r="Y17" s="128" t="e">
        <f t="shared" si="6"/>
        <v>#VALUE!</v>
      </c>
      <c r="Z17" s="132" t="e">
        <f t="shared" si="1"/>
        <v>#VALUE!</v>
      </c>
      <c r="AA17" s="166" t="e">
        <f>IF(AND(U17="4 - Alto",Z17=-4),"MODERADO",VLOOKUP(Z17,[1]Parámetros!$B$20:$C$70,2,FALSE))</f>
        <v>#VALUE!</v>
      </c>
      <c r="AB17" s="502"/>
      <c r="AC17" s="503"/>
    </row>
    <row r="18" spans="1:29" ht="15.5" x14ac:dyDescent="0.35">
      <c r="A18" s="114">
        <f>'[1]Matriz de riesgos'!A18</f>
        <v>8</v>
      </c>
      <c r="B18" s="120">
        <f>+'[1]Matriz seguimiento (1)'!B18</f>
        <v>0</v>
      </c>
      <c r="C18" s="164">
        <f>+'[1]Matriz seguimiento (1)'!C18</f>
        <v>0</v>
      </c>
      <c r="D18" s="115">
        <f>+'[1]Matriz seguimiento (1)'!D18</f>
        <v>0</v>
      </c>
      <c r="E18" s="116">
        <f>+'[1]Matriz seguimiento (1)'!E18</f>
        <v>0</v>
      </c>
      <c r="F18" s="117">
        <f>+'[1]Matriz seguimiento (1)'!F18</f>
        <v>0</v>
      </c>
      <c r="G18" s="118"/>
      <c r="H18" s="119"/>
      <c r="I18" s="120"/>
      <c r="J18" s="120"/>
      <c r="K18" s="121" t="e">
        <f t="shared" si="8"/>
        <v>#VALUE!</v>
      </c>
      <c r="L18" s="121" t="e">
        <f t="shared" si="9"/>
        <v>#VALUE!</v>
      </c>
      <c r="M18" s="122" t="e">
        <f t="shared" si="0"/>
        <v>#VALUE!</v>
      </c>
      <c r="N18" s="124" t="e">
        <f>IF(AND(G18="4 - Alto",M18=-4),"MODERADO",VLOOKUP(M18,[1]Parámetros!$B$20:$C$70,2,FALSE))</f>
        <v>#VALUE!</v>
      </c>
      <c r="O18" s="118">
        <f>+'[1]Matriz seguimiento (1)'!O18</f>
        <v>0</v>
      </c>
      <c r="P18" s="118">
        <f>+'[1]Matriz seguimiento (1)'!P18</f>
        <v>0</v>
      </c>
      <c r="Q18" s="123">
        <f>+'[1]Matriz seguimiento (1)'!Q18</f>
        <v>0</v>
      </c>
      <c r="R18" s="119">
        <f>+'[1]Matriz seguimiento (1)'!R18</f>
        <v>0</v>
      </c>
      <c r="S18" s="118">
        <f>+'[1]Matriz seguimiento (1)'!S18</f>
        <v>0</v>
      </c>
      <c r="T18" s="119">
        <f t="shared" si="7"/>
        <v>0</v>
      </c>
      <c r="U18" s="118">
        <f t="shared" si="2"/>
        <v>0</v>
      </c>
      <c r="V18" s="119" t="e">
        <f t="shared" si="3"/>
        <v>#VALUE!</v>
      </c>
      <c r="W18" s="119" t="e">
        <f t="shared" si="4"/>
        <v>#VALUE!</v>
      </c>
      <c r="X18" s="119" t="e">
        <f t="shared" si="5"/>
        <v>#VALUE!</v>
      </c>
      <c r="Y18" s="118" t="e">
        <f t="shared" si="6"/>
        <v>#VALUE!</v>
      </c>
      <c r="Z18" s="124" t="e">
        <f t="shared" si="1"/>
        <v>#VALUE!</v>
      </c>
      <c r="AA18" s="165" t="e">
        <f>IF(AND(U18="4 - Alto",Z18=-4),"MODERADO",VLOOKUP(Z18,[1]Parámetros!$B$20:$C$70,2,FALSE))</f>
        <v>#VALUE!</v>
      </c>
      <c r="AB18" s="504"/>
      <c r="AC18" s="505"/>
    </row>
    <row r="19" spans="1:29" ht="15.5" x14ac:dyDescent="0.35">
      <c r="A19" s="125">
        <f>'[1]Matriz de riesgos'!A19</f>
        <v>9</v>
      </c>
      <c r="B19" s="129">
        <f>+'[1]Matriz seguimiento (1)'!B19</f>
        <v>0</v>
      </c>
      <c r="C19" s="126">
        <f>+'[1]Matriz seguimiento (1)'!C19</f>
        <v>0</v>
      </c>
      <c r="D19" s="126">
        <f>+'[1]Matriz seguimiento (1)'!D19</f>
        <v>0</v>
      </c>
      <c r="E19" s="126">
        <f>+'[1]Matriz seguimiento (1)'!E19</f>
        <v>0</v>
      </c>
      <c r="F19" s="129">
        <f>+'[1]Matriz seguimiento (1)'!F19</f>
        <v>0</v>
      </c>
      <c r="G19" s="128"/>
      <c r="H19" s="127"/>
      <c r="I19" s="129"/>
      <c r="J19" s="129"/>
      <c r="K19" s="130" t="e">
        <f t="shared" si="8"/>
        <v>#VALUE!</v>
      </c>
      <c r="L19" s="130" t="e">
        <f t="shared" si="9"/>
        <v>#VALUE!</v>
      </c>
      <c r="M19" s="131" t="e">
        <f t="shared" si="0"/>
        <v>#VALUE!</v>
      </c>
      <c r="N19" s="132" t="e">
        <f>IF(AND(G19="4 - Alto",M19=-4),"MODERADO",VLOOKUP(M19,[1]Parámetros!$B$20:$C$70,2,FALSE))</f>
        <v>#VALUE!</v>
      </c>
      <c r="O19" s="128">
        <f>+'[1]Matriz seguimiento (1)'!O19</f>
        <v>0</v>
      </c>
      <c r="P19" s="128">
        <f>+'[1]Matriz seguimiento (1)'!P19</f>
        <v>0</v>
      </c>
      <c r="Q19" s="133">
        <f>+'[1]Matriz seguimiento (1)'!Q19</f>
        <v>0</v>
      </c>
      <c r="R19" s="127">
        <f>+'[1]Matriz seguimiento (1)'!R19</f>
        <v>0</v>
      </c>
      <c r="S19" s="128">
        <f>+'[1]Matriz seguimiento (1)'!S19</f>
        <v>0</v>
      </c>
      <c r="T19" s="129">
        <f t="shared" si="7"/>
        <v>0</v>
      </c>
      <c r="U19" s="128">
        <f t="shared" si="2"/>
        <v>0</v>
      </c>
      <c r="V19" s="127" t="e">
        <f t="shared" si="3"/>
        <v>#VALUE!</v>
      </c>
      <c r="W19" s="127" t="e">
        <f t="shared" si="4"/>
        <v>#VALUE!</v>
      </c>
      <c r="X19" s="127" t="e">
        <f t="shared" si="5"/>
        <v>#VALUE!</v>
      </c>
      <c r="Y19" s="128" t="e">
        <f t="shared" si="6"/>
        <v>#VALUE!</v>
      </c>
      <c r="Z19" s="132" t="e">
        <f t="shared" si="1"/>
        <v>#VALUE!</v>
      </c>
      <c r="AA19" s="166" t="e">
        <f>IF(AND(U19="4 - Alto",Z19=-4),"MODERADO",VLOOKUP(Z19,[1]Parámetros!$B$20:$C$70,2,FALSE))</f>
        <v>#VALUE!</v>
      </c>
      <c r="AB19" s="502"/>
      <c r="AC19" s="503"/>
    </row>
    <row r="20" spans="1:29" ht="15.5" x14ac:dyDescent="0.35">
      <c r="A20" s="114">
        <f>'[1]Matriz de riesgos'!A20</f>
        <v>10</v>
      </c>
      <c r="B20" s="120">
        <f>+'[1]Matriz seguimiento (1)'!B20</f>
        <v>0</v>
      </c>
      <c r="C20" s="164">
        <f>+'[1]Matriz seguimiento (1)'!C20</f>
        <v>0</v>
      </c>
      <c r="D20" s="115">
        <f>+'[1]Matriz seguimiento (1)'!D20</f>
        <v>0</v>
      </c>
      <c r="E20" s="116">
        <f>+'[1]Matriz seguimiento (1)'!E20</f>
        <v>0</v>
      </c>
      <c r="F20" s="117">
        <f>+'[1]Matriz seguimiento (1)'!F20</f>
        <v>0</v>
      </c>
      <c r="G20" s="118"/>
      <c r="H20" s="119"/>
      <c r="I20" s="120"/>
      <c r="J20" s="120"/>
      <c r="K20" s="121" t="e">
        <f t="shared" si="8"/>
        <v>#VALUE!</v>
      </c>
      <c r="L20" s="121" t="e">
        <f t="shared" si="9"/>
        <v>#VALUE!</v>
      </c>
      <c r="M20" s="122" t="e">
        <f t="shared" si="0"/>
        <v>#VALUE!</v>
      </c>
      <c r="N20" s="124" t="e">
        <f>IF(AND(G20="4 - Alto",M20=-4),"MODERADO",VLOOKUP(M20,[1]Parámetros!$B$20:$C$70,2,FALSE))</f>
        <v>#VALUE!</v>
      </c>
      <c r="O20" s="118">
        <f>+'[1]Matriz seguimiento (1)'!O20</f>
        <v>0</v>
      </c>
      <c r="P20" s="118">
        <f>+'[1]Matriz seguimiento (1)'!P20</f>
        <v>0</v>
      </c>
      <c r="Q20" s="123">
        <f>+'[1]Matriz seguimiento (1)'!Q20</f>
        <v>0</v>
      </c>
      <c r="R20" s="119">
        <f>+'[1]Matriz seguimiento (1)'!R20</f>
        <v>0</v>
      </c>
      <c r="S20" s="118">
        <f>+'[1]Matriz seguimiento (1)'!S20</f>
        <v>0</v>
      </c>
      <c r="T20" s="119">
        <f t="shared" si="7"/>
        <v>0</v>
      </c>
      <c r="U20" s="118">
        <f t="shared" si="2"/>
        <v>0</v>
      </c>
      <c r="V20" s="119" t="e">
        <f t="shared" si="3"/>
        <v>#VALUE!</v>
      </c>
      <c r="W20" s="119" t="e">
        <f t="shared" si="4"/>
        <v>#VALUE!</v>
      </c>
      <c r="X20" s="119" t="e">
        <f t="shared" si="5"/>
        <v>#VALUE!</v>
      </c>
      <c r="Y20" s="118" t="e">
        <f t="shared" si="6"/>
        <v>#VALUE!</v>
      </c>
      <c r="Z20" s="124" t="e">
        <f t="shared" si="1"/>
        <v>#VALUE!</v>
      </c>
      <c r="AA20" s="165" t="e">
        <f>IF(AND(U20="4 - Alto",Z20=-4),"MODERADO",VLOOKUP(Z20,[1]Parámetros!$B$20:$C$70,2,FALSE))</f>
        <v>#VALUE!</v>
      </c>
      <c r="AB20" s="504"/>
      <c r="AC20" s="505"/>
    </row>
    <row r="21" spans="1:29" ht="15.5" x14ac:dyDescent="0.35">
      <c r="A21" s="125">
        <f>'[1]Matriz de riesgos'!A21</f>
        <v>11</v>
      </c>
      <c r="B21" s="129">
        <f>+'[1]Matriz seguimiento (1)'!B21</f>
        <v>0</v>
      </c>
      <c r="C21" s="126">
        <f>+'[1]Matriz seguimiento (1)'!C21</f>
        <v>0</v>
      </c>
      <c r="D21" s="126">
        <f>+'[1]Matriz seguimiento (1)'!D21</f>
        <v>0</v>
      </c>
      <c r="E21" s="126">
        <f>+'[1]Matriz seguimiento (1)'!E21</f>
        <v>0</v>
      </c>
      <c r="F21" s="129">
        <f>+'[1]Matriz seguimiento (1)'!F21</f>
        <v>0</v>
      </c>
      <c r="G21" s="128"/>
      <c r="H21" s="127"/>
      <c r="I21" s="129"/>
      <c r="J21" s="129"/>
      <c r="K21" s="130" t="e">
        <f t="shared" si="8"/>
        <v>#VALUE!</v>
      </c>
      <c r="L21" s="130" t="e">
        <f t="shared" si="9"/>
        <v>#VALUE!</v>
      </c>
      <c r="M21" s="131" t="e">
        <f t="shared" si="0"/>
        <v>#VALUE!</v>
      </c>
      <c r="N21" s="132" t="e">
        <f>IF(AND(G21="4 - Alto",M21=-4),"MODERADO",VLOOKUP(M21,[1]Parámetros!$B$20:$C$70,2,FALSE))</f>
        <v>#VALUE!</v>
      </c>
      <c r="O21" s="128">
        <f>+'[1]Matriz seguimiento (1)'!O21</f>
        <v>0</v>
      </c>
      <c r="P21" s="128">
        <f>+'[1]Matriz seguimiento (1)'!P21</f>
        <v>0</v>
      </c>
      <c r="Q21" s="133">
        <f>+'[1]Matriz seguimiento (1)'!Q21</f>
        <v>0</v>
      </c>
      <c r="R21" s="127">
        <f>+'[1]Matriz seguimiento (1)'!R21</f>
        <v>0</v>
      </c>
      <c r="S21" s="128">
        <f>+'[1]Matriz seguimiento (1)'!S21</f>
        <v>0</v>
      </c>
      <c r="T21" s="129">
        <f t="shared" si="7"/>
        <v>0</v>
      </c>
      <c r="U21" s="128">
        <f t="shared" si="2"/>
        <v>0</v>
      </c>
      <c r="V21" s="127" t="e">
        <f t="shared" si="3"/>
        <v>#VALUE!</v>
      </c>
      <c r="W21" s="127" t="e">
        <f t="shared" si="4"/>
        <v>#VALUE!</v>
      </c>
      <c r="X21" s="127" t="e">
        <f t="shared" si="5"/>
        <v>#VALUE!</v>
      </c>
      <c r="Y21" s="128" t="e">
        <f t="shared" si="6"/>
        <v>#VALUE!</v>
      </c>
      <c r="Z21" s="132" t="e">
        <f t="shared" si="1"/>
        <v>#VALUE!</v>
      </c>
      <c r="AA21" s="166" t="e">
        <f>IF(AND(U21="4 - Alto",Z21=-4),"MODERADO",VLOOKUP(Z21,[1]Parámetros!$B$20:$C$70,2,FALSE))</f>
        <v>#VALUE!</v>
      </c>
      <c r="AB21" s="502"/>
      <c r="AC21" s="503"/>
    </row>
    <row r="22" spans="1:29" ht="15.5" x14ac:dyDescent="0.35">
      <c r="A22" s="114">
        <f>'[1]Matriz de riesgos'!A22</f>
        <v>12</v>
      </c>
      <c r="B22" s="120">
        <f>+'[1]Matriz seguimiento (1)'!B22</f>
        <v>0</v>
      </c>
      <c r="C22" s="164">
        <f>+'[1]Matriz seguimiento (1)'!C22</f>
        <v>0</v>
      </c>
      <c r="D22" s="115">
        <f>+'[1]Matriz seguimiento (1)'!D22</f>
        <v>0</v>
      </c>
      <c r="E22" s="116">
        <f>+'[1]Matriz seguimiento (1)'!E22</f>
        <v>0</v>
      </c>
      <c r="F22" s="117">
        <f>+'[1]Matriz seguimiento (1)'!F22</f>
        <v>0</v>
      </c>
      <c r="G22" s="118"/>
      <c r="H22" s="119"/>
      <c r="I22" s="120"/>
      <c r="J22" s="120"/>
      <c r="K22" s="121" t="e">
        <f t="shared" si="8"/>
        <v>#VALUE!</v>
      </c>
      <c r="L22" s="121" t="e">
        <f t="shared" si="9"/>
        <v>#VALUE!</v>
      </c>
      <c r="M22" s="122" t="e">
        <f t="shared" si="0"/>
        <v>#VALUE!</v>
      </c>
      <c r="N22" s="124" t="e">
        <f>IF(AND(G22="4 - Alto",M22=-4),"MODERADO",VLOOKUP(M22,[1]Parámetros!$B$20:$C$70,2,FALSE))</f>
        <v>#VALUE!</v>
      </c>
      <c r="O22" s="118">
        <f>+'[1]Matriz seguimiento (1)'!O22</f>
        <v>0</v>
      </c>
      <c r="P22" s="118">
        <f>+'[1]Matriz seguimiento (1)'!P22</f>
        <v>0</v>
      </c>
      <c r="Q22" s="123">
        <f>+'[1]Matriz seguimiento (1)'!Q22</f>
        <v>0</v>
      </c>
      <c r="R22" s="119">
        <f>+'[1]Matriz seguimiento (1)'!R22</f>
        <v>0</v>
      </c>
      <c r="S22" s="118">
        <f>+'[1]Matriz seguimiento (1)'!S22</f>
        <v>0</v>
      </c>
      <c r="T22" s="119">
        <f>O22</f>
        <v>0</v>
      </c>
      <c r="U22" s="118">
        <f t="shared" si="2"/>
        <v>0</v>
      </c>
      <c r="V22" s="119" t="e">
        <f t="shared" si="3"/>
        <v>#VALUE!</v>
      </c>
      <c r="W22" s="119" t="e">
        <f t="shared" si="4"/>
        <v>#VALUE!</v>
      </c>
      <c r="X22" s="119" t="e">
        <f t="shared" si="5"/>
        <v>#VALUE!</v>
      </c>
      <c r="Y22" s="118" t="e">
        <f t="shared" si="6"/>
        <v>#VALUE!</v>
      </c>
      <c r="Z22" s="124" t="e">
        <f t="shared" si="1"/>
        <v>#VALUE!</v>
      </c>
      <c r="AA22" s="165" t="e">
        <f>IF(AND(U22="4 - Alto",Z22=-4),"MODERADO",VLOOKUP(Z22,[1]Parámetros!$B$20:$C$70,2,FALSE))</f>
        <v>#VALUE!</v>
      </c>
      <c r="AB22" s="504"/>
      <c r="AC22" s="505"/>
    </row>
    <row r="23" spans="1:29" ht="15.5" x14ac:dyDescent="0.35">
      <c r="A23" s="125">
        <f>'[1]Matriz de riesgos'!A23</f>
        <v>13</v>
      </c>
      <c r="B23" s="129">
        <f>+'[1]Matriz seguimiento (1)'!B23</f>
        <v>0</v>
      </c>
      <c r="C23" s="126">
        <f>+'[1]Matriz seguimiento (1)'!C23</f>
        <v>0</v>
      </c>
      <c r="D23" s="126">
        <f>+'[1]Matriz seguimiento (1)'!D23</f>
        <v>0</v>
      </c>
      <c r="E23" s="126">
        <f>+'[1]Matriz seguimiento (1)'!E23</f>
        <v>0</v>
      </c>
      <c r="F23" s="129">
        <f>+'[1]Matriz seguimiento (1)'!F23</f>
        <v>0</v>
      </c>
      <c r="G23" s="128"/>
      <c r="H23" s="127"/>
      <c r="I23" s="129"/>
      <c r="J23" s="129"/>
      <c r="K23" s="130" t="e">
        <f t="shared" si="8"/>
        <v>#VALUE!</v>
      </c>
      <c r="L23" s="130" t="e">
        <f t="shared" si="9"/>
        <v>#VALUE!</v>
      </c>
      <c r="M23" s="131" t="e">
        <f t="shared" si="0"/>
        <v>#VALUE!</v>
      </c>
      <c r="N23" s="132" t="e">
        <f>IF(AND(G23="4 - Alto",M23=-4),"MODERADO",VLOOKUP(M23,[1]Parámetros!$B$20:$C$70,2,FALSE))</f>
        <v>#VALUE!</v>
      </c>
      <c r="O23" s="128">
        <f>+'[1]Matriz seguimiento (1)'!O23</f>
        <v>0</v>
      </c>
      <c r="P23" s="128">
        <f>+'[1]Matriz seguimiento (1)'!P23</f>
        <v>0</v>
      </c>
      <c r="Q23" s="133">
        <f>+'[1]Matriz seguimiento (1)'!Q23</f>
        <v>0</v>
      </c>
      <c r="R23" s="127">
        <f>+'[1]Matriz seguimiento (1)'!R23</f>
        <v>0</v>
      </c>
      <c r="S23" s="128">
        <f>+'[1]Matriz seguimiento (1)'!S23</f>
        <v>0</v>
      </c>
      <c r="T23" s="129">
        <f t="shared" si="7"/>
        <v>0</v>
      </c>
      <c r="U23" s="128">
        <f t="shared" si="2"/>
        <v>0</v>
      </c>
      <c r="V23" s="127" t="e">
        <f t="shared" si="3"/>
        <v>#VALUE!</v>
      </c>
      <c r="W23" s="127" t="e">
        <f t="shared" si="4"/>
        <v>#VALUE!</v>
      </c>
      <c r="X23" s="127" t="e">
        <f t="shared" si="5"/>
        <v>#VALUE!</v>
      </c>
      <c r="Y23" s="128" t="e">
        <f t="shared" si="6"/>
        <v>#VALUE!</v>
      </c>
      <c r="Z23" s="132" t="e">
        <f t="shared" si="1"/>
        <v>#VALUE!</v>
      </c>
      <c r="AA23" s="166" t="e">
        <f>IF(AND(U23="4 - Alto",Z23=-4),"MODERADO",VLOOKUP(Z23,[1]Parámetros!$B$20:$C$70,2,FALSE))</f>
        <v>#VALUE!</v>
      </c>
      <c r="AB23" s="502"/>
      <c r="AC23" s="503"/>
    </row>
    <row r="24" spans="1:29" ht="15.5" x14ac:dyDescent="0.35">
      <c r="A24" s="114">
        <f>'[1]Matriz de riesgos'!A24</f>
        <v>14</v>
      </c>
      <c r="B24" s="120">
        <f>+'[1]Matriz seguimiento (1)'!B24</f>
        <v>0</v>
      </c>
      <c r="C24" s="164">
        <f>+'[1]Matriz seguimiento (1)'!C24</f>
        <v>0</v>
      </c>
      <c r="D24" s="115">
        <f>+'[1]Matriz seguimiento (1)'!D24</f>
        <v>0</v>
      </c>
      <c r="E24" s="116">
        <f>+'[1]Matriz seguimiento (1)'!E24</f>
        <v>0</v>
      </c>
      <c r="F24" s="117">
        <f>+'[1]Matriz seguimiento (1)'!F24</f>
        <v>0</v>
      </c>
      <c r="G24" s="118"/>
      <c r="H24" s="119"/>
      <c r="I24" s="120"/>
      <c r="J24" s="120"/>
      <c r="K24" s="121" t="e">
        <f t="shared" si="8"/>
        <v>#VALUE!</v>
      </c>
      <c r="L24" s="121" t="e">
        <f t="shared" si="9"/>
        <v>#VALUE!</v>
      </c>
      <c r="M24" s="122" t="e">
        <f t="shared" si="0"/>
        <v>#VALUE!</v>
      </c>
      <c r="N24" s="124" t="e">
        <f>IF(AND(G24="4 - Alto",M24=-4),"MODERADO",VLOOKUP(M24,[1]Parámetros!$B$20:$C$70,2,FALSE))</f>
        <v>#VALUE!</v>
      </c>
      <c r="O24" s="118">
        <f>+'[1]Matriz seguimiento (1)'!O24</f>
        <v>0</v>
      </c>
      <c r="P24" s="118">
        <f>+'[1]Matriz seguimiento (1)'!P24</f>
        <v>0</v>
      </c>
      <c r="Q24" s="123">
        <f>+'[1]Matriz seguimiento (1)'!Q24</f>
        <v>0</v>
      </c>
      <c r="R24" s="119">
        <f>+'[1]Matriz seguimiento (1)'!R24</f>
        <v>0</v>
      </c>
      <c r="S24" s="118">
        <f>+'[1]Matriz seguimiento (1)'!S24</f>
        <v>0</v>
      </c>
      <c r="T24" s="119">
        <f t="shared" si="7"/>
        <v>0</v>
      </c>
      <c r="U24" s="118">
        <f t="shared" si="2"/>
        <v>0</v>
      </c>
      <c r="V24" s="119" t="e">
        <f t="shared" si="3"/>
        <v>#VALUE!</v>
      </c>
      <c r="W24" s="119" t="e">
        <f t="shared" si="4"/>
        <v>#VALUE!</v>
      </c>
      <c r="X24" s="119" t="e">
        <f t="shared" si="5"/>
        <v>#VALUE!</v>
      </c>
      <c r="Y24" s="118" t="e">
        <f t="shared" si="6"/>
        <v>#VALUE!</v>
      </c>
      <c r="Z24" s="124" t="e">
        <f t="shared" si="1"/>
        <v>#VALUE!</v>
      </c>
      <c r="AA24" s="165" t="e">
        <f>IF(AND(U24="4 - Alto",Z24=-4),"MODERADO",VLOOKUP(Z24,[1]Parámetros!$B$20:$C$70,2,FALSE))</f>
        <v>#VALUE!</v>
      </c>
      <c r="AB24" s="504"/>
      <c r="AC24" s="505"/>
    </row>
    <row r="25" spans="1:29" ht="15.5" x14ac:dyDescent="0.35">
      <c r="A25" s="125">
        <f>'[1]Matriz de riesgos'!A25</f>
        <v>15</v>
      </c>
      <c r="B25" s="129">
        <f>+'[1]Matriz seguimiento (1)'!B25</f>
        <v>0</v>
      </c>
      <c r="C25" s="126">
        <f>+'[1]Matriz seguimiento (1)'!C25</f>
        <v>0</v>
      </c>
      <c r="D25" s="126">
        <f>+'[1]Matriz seguimiento (1)'!D25</f>
        <v>0</v>
      </c>
      <c r="E25" s="126">
        <f>+'[1]Matriz seguimiento (1)'!E25</f>
        <v>0</v>
      </c>
      <c r="F25" s="129">
        <f>+'[1]Matriz seguimiento (1)'!F25</f>
        <v>0</v>
      </c>
      <c r="G25" s="128"/>
      <c r="H25" s="127"/>
      <c r="I25" s="129"/>
      <c r="J25" s="129"/>
      <c r="K25" s="130" t="e">
        <f t="shared" si="8"/>
        <v>#VALUE!</v>
      </c>
      <c r="L25" s="130" t="e">
        <f t="shared" si="9"/>
        <v>#VALUE!</v>
      </c>
      <c r="M25" s="131" t="e">
        <f t="shared" si="0"/>
        <v>#VALUE!</v>
      </c>
      <c r="N25" s="132" t="e">
        <f>IF(AND(G25="4 - Alto",M25=-4),"MODERADO",VLOOKUP(M25,[1]Parámetros!$B$20:$C$70,2,FALSE))</f>
        <v>#VALUE!</v>
      </c>
      <c r="O25" s="128">
        <f>+'[1]Matriz seguimiento (1)'!O25</f>
        <v>0</v>
      </c>
      <c r="P25" s="128">
        <f>+'[1]Matriz seguimiento (1)'!P25</f>
        <v>0</v>
      </c>
      <c r="Q25" s="133">
        <f>+'[1]Matriz seguimiento (1)'!Q25</f>
        <v>0</v>
      </c>
      <c r="R25" s="127">
        <f>+'[1]Matriz seguimiento (1)'!R25</f>
        <v>0</v>
      </c>
      <c r="S25" s="128">
        <f>+'[1]Matriz seguimiento (1)'!S25</f>
        <v>0</v>
      </c>
      <c r="T25" s="129">
        <f t="shared" si="7"/>
        <v>0</v>
      </c>
      <c r="U25" s="128">
        <f t="shared" si="2"/>
        <v>0</v>
      </c>
      <c r="V25" s="127" t="e">
        <f t="shared" si="3"/>
        <v>#VALUE!</v>
      </c>
      <c r="W25" s="127" t="e">
        <f t="shared" si="4"/>
        <v>#VALUE!</v>
      </c>
      <c r="X25" s="127" t="e">
        <f t="shared" si="5"/>
        <v>#VALUE!</v>
      </c>
      <c r="Y25" s="128" t="e">
        <f t="shared" si="6"/>
        <v>#VALUE!</v>
      </c>
      <c r="Z25" s="132" t="e">
        <f t="shared" si="1"/>
        <v>#VALUE!</v>
      </c>
      <c r="AA25" s="166" t="e">
        <f>IF(AND(U25="4 - Alto",Z25=-4),"MODERADO",VLOOKUP(Z25,[1]Parámetros!$B$20:$C$70,2,FALSE))</f>
        <v>#VALUE!</v>
      </c>
      <c r="AB25" s="502"/>
      <c r="AC25" s="503"/>
    </row>
    <row r="26" spans="1:29" ht="15.5" x14ac:dyDescent="0.35">
      <c r="A26" s="114">
        <f>'[1]Matriz de riesgos'!A26</f>
        <v>16</v>
      </c>
      <c r="B26" s="120">
        <f>+'[1]Matriz seguimiento (1)'!B26</f>
        <v>0</v>
      </c>
      <c r="C26" s="164">
        <f>+'[1]Matriz seguimiento (1)'!C26</f>
        <v>0</v>
      </c>
      <c r="D26" s="115">
        <f>+'[1]Matriz seguimiento (1)'!D26</f>
        <v>0</v>
      </c>
      <c r="E26" s="116">
        <f>+'[1]Matriz seguimiento (1)'!E26</f>
        <v>0</v>
      </c>
      <c r="F26" s="117">
        <f>+'[1]Matriz seguimiento (1)'!F26</f>
        <v>0</v>
      </c>
      <c r="G26" s="118"/>
      <c r="H26" s="119"/>
      <c r="I26" s="120"/>
      <c r="J26" s="120"/>
      <c r="K26" s="121" t="e">
        <f t="shared" si="8"/>
        <v>#VALUE!</v>
      </c>
      <c r="L26" s="121" t="e">
        <f t="shared" si="9"/>
        <v>#VALUE!</v>
      </c>
      <c r="M26" s="122" t="e">
        <f t="shared" si="0"/>
        <v>#VALUE!</v>
      </c>
      <c r="N26" s="124" t="e">
        <f>IF(AND(G26="4 - Alto",M26=-4),"MODERADO",VLOOKUP(M26,[1]Parámetros!$B$20:$C$70,2,FALSE))</f>
        <v>#VALUE!</v>
      </c>
      <c r="O26" s="118">
        <f>+'[1]Matriz seguimiento (1)'!O26</f>
        <v>0</v>
      </c>
      <c r="P26" s="118">
        <f>+'[1]Matriz seguimiento (1)'!P26</f>
        <v>0</v>
      </c>
      <c r="Q26" s="123">
        <f>+'[1]Matriz seguimiento (1)'!Q26</f>
        <v>0</v>
      </c>
      <c r="R26" s="119">
        <f>+'[1]Matriz seguimiento (1)'!R26</f>
        <v>0</v>
      </c>
      <c r="S26" s="118">
        <f>+'[1]Matriz seguimiento (1)'!S26</f>
        <v>0</v>
      </c>
      <c r="T26" s="119">
        <f t="shared" si="7"/>
        <v>0</v>
      </c>
      <c r="U26" s="118">
        <f t="shared" si="2"/>
        <v>0</v>
      </c>
      <c r="V26" s="119" t="e">
        <f t="shared" si="3"/>
        <v>#VALUE!</v>
      </c>
      <c r="W26" s="119" t="e">
        <f t="shared" si="4"/>
        <v>#VALUE!</v>
      </c>
      <c r="X26" s="119" t="e">
        <f t="shared" si="5"/>
        <v>#VALUE!</v>
      </c>
      <c r="Y26" s="118" t="e">
        <f t="shared" si="6"/>
        <v>#VALUE!</v>
      </c>
      <c r="Z26" s="124" t="e">
        <f t="shared" si="1"/>
        <v>#VALUE!</v>
      </c>
      <c r="AA26" s="165" t="e">
        <f>IF(AND(U26="4 - Alto",Z26=-4),"MODERADO",VLOOKUP(Z26,[1]Parámetros!$B$20:$C$70,2,FALSE))</f>
        <v>#VALUE!</v>
      </c>
      <c r="AB26" s="504"/>
      <c r="AC26" s="505"/>
    </row>
    <row r="27" spans="1:29" ht="15.5" x14ac:dyDescent="0.35">
      <c r="A27" s="125">
        <f>'[1]Matriz de riesgos'!A27</f>
        <v>17</v>
      </c>
      <c r="B27" s="129">
        <f>+'[1]Matriz seguimiento (1)'!B27</f>
        <v>0</v>
      </c>
      <c r="C27" s="126">
        <f>+'[1]Matriz seguimiento (1)'!C27</f>
        <v>0</v>
      </c>
      <c r="D27" s="126">
        <f>+'[1]Matriz seguimiento (1)'!D27</f>
        <v>0</v>
      </c>
      <c r="E27" s="126">
        <f>+'[1]Matriz seguimiento (1)'!E27</f>
        <v>0</v>
      </c>
      <c r="F27" s="129">
        <f>+'[1]Matriz seguimiento (1)'!F27</f>
        <v>0</v>
      </c>
      <c r="G27" s="128"/>
      <c r="H27" s="127"/>
      <c r="I27" s="129"/>
      <c r="J27" s="129"/>
      <c r="K27" s="130" t="e">
        <f t="shared" si="8"/>
        <v>#VALUE!</v>
      </c>
      <c r="L27" s="130" t="e">
        <f t="shared" si="9"/>
        <v>#VALUE!</v>
      </c>
      <c r="M27" s="131" t="e">
        <f t="shared" si="0"/>
        <v>#VALUE!</v>
      </c>
      <c r="N27" s="132" t="e">
        <f>IF(AND(G27="4 - Alto",M27=-4),"MODERADO",VLOOKUP(M27,[1]Parámetros!$B$20:$C$70,2,FALSE))</f>
        <v>#VALUE!</v>
      </c>
      <c r="O27" s="128">
        <f>+'[1]Matriz seguimiento (1)'!O27</f>
        <v>0</v>
      </c>
      <c r="P27" s="128">
        <f>+'[1]Matriz seguimiento (1)'!P27</f>
        <v>0</v>
      </c>
      <c r="Q27" s="133">
        <f>+'[1]Matriz seguimiento (1)'!Q27</f>
        <v>0</v>
      </c>
      <c r="R27" s="127">
        <f>+'[1]Matriz seguimiento (1)'!R27</f>
        <v>0</v>
      </c>
      <c r="S27" s="128">
        <f>+'[1]Matriz seguimiento (1)'!S27</f>
        <v>0</v>
      </c>
      <c r="T27" s="129">
        <f t="shared" si="7"/>
        <v>0</v>
      </c>
      <c r="U27" s="128">
        <f t="shared" si="2"/>
        <v>0</v>
      </c>
      <c r="V27" s="127" t="e">
        <f t="shared" si="3"/>
        <v>#VALUE!</v>
      </c>
      <c r="W27" s="127" t="e">
        <f t="shared" si="4"/>
        <v>#VALUE!</v>
      </c>
      <c r="X27" s="127" t="e">
        <f t="shared" si="5"/>
        <v>#VALUE!</v>
      </c>
      <c r="Y27" s="128" t="e">
        <f t="shared" si="6"/>
        <v>#VALUE!</v>
      </c>
      <c r="Z27" s="132" t="e">
        <f t="shared" si="1"/>
        <v>#VALUE!</v>
      </c>
      <c r="AA27" s="166" t="e">
        <f>IF(AND(U27="4 - Alto",Z27=-4),"MODERADO",VLOOKUP(Z27,[1]Parámetros!$B$20:$C$70,2,FALSE))</f>
        <v>#VALUE!</v>
      </c>
      <c r="AB27" s="502"/>
      <c r="AC27" s="503"/>
    </row>
    <row r="28" spans="1:29" ht="15.5" x14ac:dyDescent="0.35">
      <c r="A28" s="114">
        <f>'[1]Matriz de riesgos'!A28</f>
        <v>18</v>
      </c>
      <c r="B28" s="120">
        <f>+'[1]Matriz seguimiento (1)'!B28</f>
        <v>0</v>
      </c>
      <c r="C28" s="164">
        <f>+'[1]Matriz seguimiento (1)'!C28</f>
        <v>0</v>
      </c>
      <c r="D28" s="115">
        <f>+'[1]Matriz seguimiento (1)'!D28</f>
        <v>0</v>
      </c>
      <c r="E28" s="116">
        <f>+'[1]Matriz seguimiento (1)'!E28</f>
        <v>0</v>
      </c>
      <c r="F28" s="117">
        <f>+'[1]Matriz seguimiento (1)'!F28</f>
        <v>0</v>
      </c>
      <c r="G28" s="118"/>
      <c r="H28" s="119"/>
      <c r="I28" s="120"/>
      <c r="J28" s="120"/>
      <c r="K28" s="121" t="e">
        <f t="shared" si="8"/>
        <v>#VALUE!</v>
      </c>
      <c r="L28" s="121" t="e">
        <f t="shared" si="9"/>
        <v>#VALUE!</v>
      </c>
      <c r="M28" s="122" t="e">
        <f t="shared" si="0"/>
        <v>#VALUE!</v>
      </c>
      <c r="N28" s="124" t="e">
        <f>IF(AND(G28="4 - Alto",M28=-4),"MODERADO",VLOOKUP(M28,[1]Parámetros!$B$20:$C$70,2,FALSE))</f>
        <v>#VALUE!</v>
      </c>
      <c r="O28" s="118">
        <f>+'[1]Matriz seguimiento (1)'!O28</f>
        <v>0</v>
      </c>
      <c r="P28" s="118">
        <f>+'[1]Matriz seguimiento (1)'!P28</f>
        <v>0</v>
      </c>
      <c r="Q28" s="123">
        <f>+'[1]Matriz seguimiento (1)'!Q28</f>
        <v>0</v>
      </c>
      <c r="R28" s="119">
        <f>+'[1]Matriz seguimiento (1)'!R28</f>
        <v>0</v>
      </c>
      <c r="S28" s="118">
        <f>+'[1]Matriz seguimiento (1)'!S28</f>
        <v>0</v>
      </c>
      <c r="T28" s="119">
        <f t="shared" si="7"/>
        <v>0</v>
      </c>
      <c r="U28" s="118">
        <f t="shared" si="2"/>
        <v>0</v>
      </c>
      <c r="V28" s="119" t="e">
        <f t="shared" si="3"/>
        <v>#VALUE!</v>
      </c>
      <c r="W28" s="119" t="e">
        <f t="shared" si="4"/>
        <v>#VALUE!</v>
      </c>
      <c r="X28" s="119" t="e">
        <f t="shared" si="5"/>
        <v>#VALUE!</v>
      </c>
      <c r="Y28" s="118" t="e">
        <f t="shared" si="6"/>
        <v>#VALUE!</v>
      </c>
      <c r="Z28" s="124" t="e">
        <f t="shared" si="1"/>
        <v>#VALUE!</v>
      </c>
      <c r="AA28" s="165" t="e">
        <f>IF(AND(U28="4 - Alto",Z28=-4),"MODERADO",VLOOKUP(Z28,[1]Parámetros!$B$20:$C$70,2,FALSE))</f>
        <v>#VALUE!</v>
      </c>
      <c r="AB28" s="504"/>
      <c r="AC28" s="505"/>
    </row>
    <row r="29" spans="1:29" ht="15.5" x14ac:dyDescent="0.35">
      <c r="A29" s="125">
        <f>'[1]Matriz de riesgos'!A29</f>
        <v>19</v>
      </c>
      <c r="B29" s="129">
        <f>+'[1]Matriz seguimiento (1)'!B29</f>
        <v>0</v>
      </c>
      <c r="C29" s="126">
        <f>+'[1]Matriz seguimiento (1)'!C29</f>
        <v>0</v>
      </c>
      <c r="D29" s="126">
        <f>+'[1]Matriz seguimiento (1)'!D29</f>
        <v>0</v>
      </c>
      <c r="E29" s="126">
        <f>+'[1]Matriz seguimiento (1)'!E29</f>
        <v>0</v>
      </c>
      <c r="F29" s="129">
        <f>+'[1]Matriz seguimiento (1)'!F29</f>
        <v>0</v>
      </c>
      <c r="G29" s="128"/>
      <c r="H29" s="127"/>
      <c r="I29" s="129"/>
      <c r="J29" s="129"/>
      <c r="K29" s="130" t="e">
        <f t="shared" si="8"/>
        <v>#VALUE!</v>
      </c>
      <c r="L29" s="130" t="e">
        <f t="shared" si="9"/>
        <v>#VALUE!</v>
      </c>
      <c r="M29" s="131" t="e">
        <f t="shared" si="0"/>
        <v>#VALUE!</v>
      </c>
      <c r="N29" s="132" t="e">
        <f>IF(AND(G29="4 - Alto",M29=-4),"MODERADO",VLOOKUP(M29,[1]Parámetros!$B$20:$C$70,2,FALSE))</f>
        <v>#VALUE!</v>
      </c>
      <c r="O29" s="128">
        <f>+'[1]Matriz seguimiento (1)'!O29</f>
        <v>0</v>
      </c>
      <c r="P29" s="128">
        <f>+'[1]Matriz seguimiento (1)'!P29</f>
        <v>0</v>
      </c>
      <c r="Q29" s="133">
        <f>+'[1]Matriz seguimiento (1)'!Q29</f>
        <v>0</v>
      </c>
      <c r="R29" s="127">
        <f>+'[1]Matriz seguimiento (1)'!R29</f>
        <v>0</v>
      </c>
      <c r="S29" s="128">
        <f>+'[1]Matriz seguimiento (1)'!S29</f>
        <v>0</v>
      </c>
      <c r="T29" s="129">
        <f t="shared" si="7"/>
        <v>0</v>
      </c>
      <c r="U29" s="128">
        <f t="shared" si="2"/>
        <v>0</v>
      </c>
      <c r="V29" s="127" t="e">
        <f t="shared" si="3"/>
        <v>#VALUE!</v>
      </c>
      <c r="W29" s="127" t="e">
        <f t="shared" si="4"/>
        <v>#VALUE!</v>
      </c>
      <c r="X29" s="127" t="e">
        <f t="shared" si="5"/>
        <v>#VALUE!</v>
      </c>
      <c r="Y29" s="128" t="e">
        <f t="shared" si="6"/>
        <v>#VALUE!</v>
      </c>
      <c r="Z29" s="132" t="e">
        <f t="shared" si="1"/>
        <v>#VALUE!</v>
      </c>
      <c r="AA29" s="166" t="e">
        <f>IF(AND(U29="4 - Alto",Z29=-4),"MODERADO",VLOOKUP(Z29,[1]Parámetros!$B$20:$C$70,2,FALSE))</f>
        <v>#VALUE!</v>
      </c>
      <c r="AB29" s="502"/>
      <c r="AC29" s="503"/>
    </row>
    <row r="30" spans="1:29" ht="15.5" x14ac:dyDescent="0.35">
      <c r="A30" s="114">
        <f>'[1]Matriz de riesgos'!A30</f>
        <v>20</v>
      </c>
      <c r="B30" s="120">
        <f>+'[1]Matriz seguimiento (1)'!B30</f>
        <v>0</v>
      </c>
      <c r="C30" s="164">
        <f>+'[1]Matriz seguimiento (1)'!C30</f>
        <v>0</v>
      </c>
      <c r="D30" s="115">
        <f>+'[1]Matriz seguimiento (1)'!D30</f>
        <v>0</v>
      </c>
      <c r="E30" s="116">
        <f>+'[1]Matriz seguimiento (1)'!E30</f>
        <v>0</v>
      </c>
      <c r="F30" s="117">
        <f>+'[1]Matriz seguimiento (1)'!F30</f>
        <v>0</v>
      </c>
      <c r="G30" s="118"/>
      <c r="H30" s="119"/>
      <c r="I30" s="120"/>
      <c r="J30" s="120"/>
      <c r="K30" s="121" t="e">
        <f t="shared" si="8"/>
        <v>#VALUE!</v>
      </c>
      <c r="L30" s="121" t="e">
        <f t="shared" si="9"/>
        <v>#VALUE!</v>
      </c>
      <c r="M30" s="122" t="e">
        <f t="shared" si="0"/>
        <v>#VALUE!</v>
      </c>
      <c r="N30" s="124" t="e">
        <f>IF(AND(G30="4 - Alto",M30=-4),"MODERADO",VLOOKUP(M30,[1]Parámetros!$B$20:$C$70,2,FALSE))</f>
        <v>#VALUE!</v>
      </c>
      <c r="O30" s="118">
        <f>+'[1]Matriz seguimiento (1)'!O30</f>
        <v>0</v>
      </c>
      <c r="P30" s="118">
        <f>+'[1]Matriz seguimiento (1)'!P30</f>
        <v>0</v>
      </c>
      <c r="Q30" s="123">
        <f>+'[1]Matriz seguimiento (1)'!Q30</f>
        <v>0</v>
      </c>
      <c r="R30" s="119">
        <f>+'[1]Matriz seguimiento (1)'!R30</f>
        <v>0</v>
      </c>
      <c r="S30" s="118">
        <f>+'[1]Matriz seguimiento (1)'!S30</f>
        <v>0</v>
      </c>
      <c r="T30" s="119">
        <f t="shared" si="7"/>
        <v>0</v>
      </c>
      <c r="U30" s="118">
        <f t="shared" si="2"/>
        <v>0</v>
      </c>
      <c r="V30" s="119" t="e">
        <f t="shared" si="3"/>
        <v>#VALUE!</v>
      </c>
      <c r="W30" s="119" t="e">
        <f t="shared" si="4"/>
        <v>#VALUE!</v>
      </c>
      <c r="X30" s="119" t="e">
        <f t="shared" si="5"/>
        <v>#VALUE!</v>
      </c>
      <c r="Y30" s="118" t="e">
        <f t="shared" si="6"/>
        <v>#VALUE!</v>
      </c>
      <c r="Z30" s="124" t="e">
        <f t="shared" si="1"/>
        <v>#VALUE!</v>
      </c>
      <c r="AA30" s="165" t="e">
        <f>IF(AND(U30="4 - Alto",Z30=-4),"MODERADO",VLOOKUP(Z30,[1]Parámetros!$B$20:$C$70,2,FALSE))</f>
        <v>#VALUE!</v>
      </c>
      <c r="AB30" s="504"/>
      <c r="AC30" s="505"/>
    </row>
    <row r="31" spans="1:29" ht="15.5" x14ac:dyDescent="0.35">
      <c r="A31" s="125">
        <f>'[1]Matriz de riesgos'!A31</f>
        <v>21</v>
      </c>
      <c r="B31" s="129">
        <f>+'[1]Matriz seguimiento (1)'!B31</f>
        <v>0</v>
      </c>
      <c r="C31" s="126">
        <f>+'[1]Matriz seguimiento (1)'!C31</f>
        <v>0</v>
      </c>
      <c r="D31" s="126">
        <f>+'[1]Matriz seguimiento (1)'!D31</f>
        <v>0</v>
      </c>
      <c r="E31" s="126">
        <f>+'[1]Matriz seguimiento (1)'!E31</f>
        <v>0</v>
      </c>
      <c r="F31" s="129">
        <f>+'[1]Matriz seguimiento (1)'!F31</f>
        <v>0</v>
      </c>
      <c r="G31" s="128"/>
      <c r="H31" s="127"/>
      <c r="I31" s="129"/>
      <c r="J31" s="129"/>
      <c r="K31" s="130" t="e">
        <f t="shared" si="8"/>
        <v>#VALUE!</v>
      </c>
      <c r="L31" s="130" t="e">
        <f t="shared" si="9"/>
        <v>#VALUE!</v>
      </c>
      <c r="M31" s="131" t="e">
        <f t="shared" si="0"/>
        <v>#VALUE!</v>
      </c>
      <c r="N31" s="132" t="e">
        <f>IF(AND(G31="4 - Alto",M31=-4),"MODERADO",VLOOKUP(M31,[1]Parámetros!$B$20:$C$70,2,FALSE))</f>
        <v>#VALUE!</v>
      </c>
      <c r="O31" s="128">
        <f>+'[1]Matriz seguimiento (1)'!O31</f>
        <v>0</v>
      </c>
      <c r="P31" s="128">
        <f>+'[1]Matriz seguimiento (1)'!P31</f>
        <v>0</v>
      </c>
      <c r="Q31" s="133">
        <f>+'[1]Matriz seguimiento (1)'!Q31</f>
        <v>0</v>
      </c>
      <c r="R31" s="127">
        <f>+'[1]Matriz seguimiento (1)'!R31</f>
        <v>0</v>
      </c>
      <c r="S31" s="128">
        <f>+'[1]Matriz seguimiento (1)'!S31</f>
        <v>0</v>
      </c>
      <c r="T31" s="129">
        <f t="shared" si="7"/>
        <v>0</v>
      </c>
      <c r="U31" s="128">
        <f t="shared" si="2"/>
        <v>0</v>
      </c>
      <c r="V31" s="127" t="e">
        <f t="shared" si="3"/>
        <v>#VALUE!</v>
      </c>
      <c r="W31" s="127" t="e">
        <f t="shared" si="4"/>
        <v>#VALUE!</v>
      </c>
      <c r="X31" s="127" t="e">
        <f t="shared" si="5"/>
        <v>#VALUE!</v>
      </c>
      <c r="Y31" s="128" t="e">
        <f t="shared" si="6"/>
        <v>#VALUE!</v>
      </c>
      <c r="Z31" s="132" t="e">
        <f t="shared" si="1"/>
        <v>#VALUE!</v>
      </c>
      <c r="AA31" s="166" t="e">
        <f>IF(AND(U31="4 - Alto",Z31=-4),"MODERADO",VLOOKUP(Z31,[1]Parámetros!$B$20:$C$70,2,FALSE))</f>
        <v>#VALUE!</v>
      </c>
      <c r="AB31" s="502"/>
      <c r="AC31" s="503"/>
    </row>
    <row r="32" spans="1:29" ht="15.5" x14ac:dyDescent="0.35">
      <c r="A32" s="114">
        <f>'[1]Matriz de riesgos'!A32</f>
        <v>22</v>
      </c>
      <c r="B32" s="120">
        <f>+'[1]Matriz seguimiento (1)'!B32</f>
        <v>0</v>
      </c>
      <c r="C32" s="164">
        <f>+'[1]Matriz seguimiento (1)'!C32</f>
        <v>0</v>
      </c>
      <c r="D32" s="115">
        <f>+'[1]Matriz seguimiento (1)'!D32</f>
        <v>0</v>
      </c>
      <c r="E32" s="116">
        <f>+'[1]Matriz seguimiento (1)'!E32</f>
        <v>0</v>
      </c>
      <c r="F32" s="117">
        <f>+'[1]Matriz seguimiento (1)'!F32</f>
        <v>0</v>
      </c>
      <c r="G32" s="118"/>
      <c r="H32" s="119"/>
      <c r="I32" s="120"/>
      <c r="J32" s="120"/>
      <c r="K32" s="121" t="e">
        <f t="shared" si="8"/>
        <v>#VALUE!</v>
      </c>
      <c r="L32" s="121" t="e">
        <f t="shared" si="9"/>
        <v>#VALUE!</v>
      </c>
      <c r="M32" s="122" t="e">
        <f t="shared" si="0"/>
        <v>#VALUE!</v>
      </c>
      <c r="N32" s="124" t="e">
        <f>IF(AND(G32="4 - Alto",M32=-4),"MODERADO",VLOOKUP(M32,[1]Parámetros!$B$20:$C$70,2,FALSE))</f>
        <v>#VALUE!</v>
      </c>
      <c r="O32" s="118">
        <f>+'[1]Matriz seguimiento (1)'!O32</f>
        <v>0</v>
      </c>
      <c r="P32" s="118">
        <f>+'[1]Matriz seguimiento (1)'!P32</f>
        <v>0</v>
      </c>
      <c r="Q32" s="123">
        <f>+'[1]Matriz seguimiento (1)'!Q32</f>
        <v>0</v>
      </c>
      <c r="R32" s="119">
        <f>+'[1]Matriz seguimiento (1)'!R32</f>
        <v>0</v>
      </c>
      <c r="S32" s="118">
        <f>+'[1]Matriz seguimiento (1)'!S32</f>
        <v>0</v>
      </c>
      <c r="T32" s="119">
        <f t="shared" si="7"/>
        <v>0</v>
      </c>
      <c r="U32" s="118">
        <f t="shared" si="2"/>
        <v>0</v>
      </c>
      <c r="V32" s="119" t="e">
        <f t="shared" si="3"/>
        <v>#VALUE!</v>
      </c>
      <c r="W32" s="119" t="e">
        <f t="shared" si="4"/>
        <v>#VALUE!</v>
      </c>
      <c r="X32" s="119" t="e">
        <f t="shared" si="5"/>
        <v>#VALUE!</v>
      </c>
      <c r="Y32" s="118" t="e">
        <f t="shared" si="6"/>
        <v>#VALUE!</v>
      </c>
      <c r="Z32" s="124" t="e">
        <f t="shared" si="1"/>
        <v>#VALUE!</v>
      </c>
      <c r="AA32" s="165" t="e">
        <f>IF(AND(U32="4 - Alto",Z32=-4),"MODERADO",VLOOKUP(Z32,[1]Parámetros!$B$20:$C$70,2,FALSE))</f>
        <v>#VALUE!</v>
      </c>
      <c r="AB32" s="504"/>
      <c r="AC32" s="505"/>
    </row>
    <row r="33" spans="1:29" ht="15.5" x14ac:dyDescent="0.35">
      <c r="A33" s="125">
        <f>'[1]Matriz de riesgos'!A33</f>
        <v>23</v>
      </c>
      <c r="B33" s="129">
        <f>+'[1]Matriz seguimiento (1)'!B33</f>
        <v>0</v>
      </c>
      <c r="C33" s="126">
        <f>+'[1]Matriz seguimiento (1)'!C33</f>
        <v>0</v>
      </c>
      <c r="D33" s="126">
        <f>+'[1]Matriz seguimiento (1)'!D33</f>
        <v>0</v>
      </c>
      <c r="E33" s="126">
        <f>+'[1]Matriz seguimiento (1)'!E33</f>
        <v>0</v>
      </c>
      <c r="F33" s="129">
        <f>+'[1]Matriz seguimiento (1)'!F33</f>
        <v>0</v>
      </c>
      <c r="G33" s="128"/>
      <c r="H33" s="127"/>
      <c r="I33" s="129"/>
      <c r="J33" s="129"/>
      <c r="K33" s="130" t="e">
        <f t="shared" si="8"/>
        <v>#VALUE!</v>
      </c>
      <c r="L33" s="130" t="e">
        <f t="shared" si="9"/>
        <v>#VALUE!</v>
      </c>
      <c r="M33" s="131" t="e">
        <f t="shared" si="0"/>
        <v>#VALUE!</v>
      </c>
      <c r="N33" s="132" t="e">
        <f>IF(AND(G33="4 - Alto",M33=-4),"MODERADO",VLOOKUP(M33,[1]Parámetros!$B$20:$C$70,2,FALSE))</f>
        <v>#VALUE!</v>
      </c>
      <c r="O33" s="128">
        <f>+'[1]Matriz seguimiento (1)'!O33</f>
        <v>0</v>
      </c>
      <c r="P33" s="128">
        <f>+'[1]Matriz seguimiento (1)'!P33</f>
        <v>0</v>
      </c>
      <c r="Q33" s="133">
        <f>+'[1]Matriz seguimiento (1)'!Q33</f>
        <v>0</v>
      </c>
      <c r="R33" s="127">
        <f>+'[1]Matriz seguimiento (1)'!R33</f>
        <v>0</v>
      </c>
      <c r="S33" s="128">
        <f>+'[1]Matriz seguimiento (1)'!S33</f>
        <v>0</v>
      </c>
      <c r="T33" s="129">
        <f t="shared" si="7"/>
        <v>0</v>
      </c>
      <c r="U33" s="128">
        <f t="shared" si="2"/>
        <v>0</v>
      </c>
      <c r="V33" s="127" t="e">
        <f t="shared" si="3"/>
        <v>#VALUE!</v>
      </c>
      <c r="W33" s="127" t="e">
        <f t="shared" si="4"/>
        <v>#VALUE!</v>
      </c>
      <c r="X33" s="127" t="e">
        <f t="shared" si="5"/>
        <v>#VALUE!</v>
      </c>
      <c r="Y33" s="128" t="e">
        <f t="shared" si="6"/>
        <v>#VALUE!</v>
      </c>
      <c r="Z33" s="132" t="e">
        <f t="shared" si="1"/>
        <v>#VALUE!</v>
      </c>
      <c r="AA33" s="166" t="e">
        <f>IF(AND(U33="4 - Alto",Z33=-4),"MODERADO",VLOOKUP(Z33,[1]Parámetros!$B$20:$C$70,2,FALSE))</f>
        <v>#VALUE!</v>
      </c>
      <c r="AB33" s="502"/>
      <c r="AC33" s="503"/>
    </row>
    <row r="34" spans="1:29" ht="15.5" x14ac:dyDescent="0.35">
      <c r="A34" s="114">
        <f>'[1]Matriz de riesgos'!A34</f>
        <v>24</v>
      </c>
      <c r="B34" s="120">
        <f>+'[1]Matriz seguimiento (1)'!B34</f>
        <v>0</v>
      </c>
      <c r="C34" s="164">
        <f>+'[1]Matriz seguimiento (1)'!C34</f>
        <v>0</v>
      </c>
      <c r="D34" s="115">
        <f>+'[1]Matriz seguimiento (1)'!D34</f>
        <v>0</v>
      </c>
      <c r="E34" s="116">
        <f>+'[1]Matriz seguimiento (1)'!E34</f>
        <v>0</v>
      </c>
      <c r="F34" s="117">
        <f>+'[1]Matriz seguimiento (1)'!F34</f>
        <v>0</v>
      </c>
      <c r="G34" s="118"/>
      <c r="H34" s="119"/>
      <c r="I34" s="120"/>
      <c r="J34" s="120"/>
      <c r="K34" s="121" t="e">
        <f t="shared" si="8"/>
        <v>#VALUE!</v>
      </c>
      <c r="L34" s="121" t="e">
        <f t="shared" si="9"/>
        <v>#VALUE!</v>
      </c>
      <c r="M34" s="122" t="e">
        <f t="shared" si="0"/>
        <v>#VALUE!</v>
      </c>
      <c r="N34" s="124" t="e">
        <f>IF(AND(G34="4 - Alto",M34=-4),"MODERADO",VLOOKUP(M34,[1]Parámetros!$B$20:$C$70,2,FALSE))</f>
        <v>#VALUE!</v>
      </c>
      <c r="O34" s="118">
        <f>+'[1]Matriz seguimiento (1)'!O34</f>
        <v>0</v>
      </c>
      <c r="P34" s="118">
        <f>+'[1]Matriz seguimiento (1)'!P34</f>
        <v>0</v>
      </c>
      <c r="Q34" s="123">
        <f>+'[1]Matriz seguimiento (1)'!Q34</f>
        <v>0</v>
      </c>
      <c r="R34" s="119">
        <f>+'[1]Matriz seguimiento (1)'!R34</f>
        <v>0</v>
      </c>
      <c r="S34" s="118">
        <f>+'[1]Matriz seguimiento (1)'!S34</f>
        <v>0</v>
      </c>
      <c r="T34" s="119">
        <f t="shared" si="7"/>
        <v>0</v>
      </c>
      <c r="U34" s="118">
        <f t="shared" si="2"/>
        <v>0</v>
      </c>
      <c r="V34" s="119" t="e">
        <f t="shared" si="3"/>
        <v>#VALUE!</v>
      </c>
      <c r="W34" s="119" t="e">
        <f t="shared" si="4"/>
        <v>#VALUE!</v>
      </c>
      <c r="X34" s="119" t="e">
        <f t="shared" si="5"/>
        <v>#VALUE!</v>
      </c>
      <c r="Y34" s="118" t="e">
        <f t="shared" si="6"/>
        <v>#VALUE!</v>
      </c>
      <c r="Z34" s="124" t="e">
        <f t="shared" si="1"/>
        <v>#VALUE!</v>
      </c>
      <c r="AA34" s="165" t="e">
        <f>IF(AND(U34="4 - Alto",Z34=-4),"MODERADO",VLOOKUP(Z34,[1]Parámetros!$B$20:$C$70,2,FALSE))</f>
        <v>#VALUE!</v>
      </c>
      <c r="AB34" s="504"/>
      <c r="AC34" s="505"/>
    </row>
    <row r="35" spans="1:29" ht="15.5" x14ac:dyDescent="0.35">
      <c r="A35" s="125">
        <f>'[1]Matriz de riesgos'!A35</f>
        <v>25</v>
      </c>
      <c r="B35" s="129">
        <f>+'[1]Matriz seguimiento (1)'!B35</f>
        <v>0</v>
      </c>
      <c r="C35" s="126">
        <f>+'[1]Matriz seguimiento (1)'!C35</f>
        <v>0</v>
      </c>
      <c r="D35" s="126">
        <f>+'[1]Matriz seguimiento (1)'!D35</f>
        <v>0</v>
      </c>
      <c r="E35" s="126">
        <f>+'[1]Matriz seguimiento (1)'!E35</f>
        <v>0</v>
      </c>
      <c r="F35" s="129">
        <f>+'[1]Matriz seguimiento (1)'!F35</f>
        <v>0</v>
      </c>
      <c r="G35" s="128"/>
      <c r="H35" s="127"/>
      <c r="I35" s="129"/>
      <c r="J35" s="129"/>
      <c r="K35" s="130" t="e">
        <f t="shared" si="8"/>
        <v>#VALUE!</v>
      </c>
      <c r="L35" s="130" t="e">
        <f t="shared" si="9"/>
        <v>#VALUE!</v>
      </c>
      <c r="M35" s="131" t="e">
        <f t="shared" si="0"/>
        <v>#VALUE!</v>
      </c>
      <c r="N35" s="132" t="e">
        <f>IF(AND(G35="4 - Alto",M35=-4),"MODERADO",VLOOKUP(M35,[1]Parámetros!$B$20:$C$70,2,FALSE))</f>
        <v>#VALUE!</v>
      </c>
      <c r="O35" s="128">
        <f>+'[1]Matriz seguimiento (1)'!O35</f>
        <v>0</v>
      </c>
      <c r="P35" s="128">
        <f>+'[1]Matriz seguimiento (1)'!P35</f>
        <v>0</v>
      </c>
      <c r="Q35" s="133">
        <f>+'[1]Matriz seguimiento (1)'!Q35</f>
        <v>0</v>
      </c>
      <c r="R35" s="127">
        <f>+'[1]Matriz seguimiento (1)'!R35</f>
        <v>0</v>
      </c>
      <c r="S35" s="128">
        <f>+'[1]Matriz seguimiento (1)'!S35</f>
        <v>0</v>
      </c>
      <c r="T35" s="129">
        <f t="shared" si="7"/>
        <v>0</v>
      </c>
      <c r="U35" s="128">
        <f t="shared" si="2"/>
        <v>0</v>
      </c>
      <c r="V35" s="127" t="e">
        <f t="shared" si="3"/>
        <v>#VALUE!</v>
      </c>
      <c r="W35" s="127" t="e">
        <f t="shared" si="4"/>
        <v>#VALUE!</v>
      </c>
      <c r="X35" s="127" t="e">
        <f t="shared" si="5"/>
        <v>#VALUE!</v>
      </c>
      <c r="Y35" s="128" t="e">
        <f t="shared" si="6"/>
        <v>#VALUE!</v>
      </c>
      <c r="Z35" s="132" t="e">
        <f t="shared" si="1"/>
        <v>#VALUE!</v>
      </c>
      <c r="AA35" s="166" t="e">
        <f>IF(AND(U35="4 - Alto",Z35=-4),"MODERADO",VLOOKUP(Z35,[1]Parámetros!$B$20:$C$70,2,FALSE))</f>
        <v>#VALUE!</v>
      </c>
      <c r="AB35" s="502"/>
      <c r="AC35" s="503"/>
    </row>
    <row r="36" spans="1:29" ht="15.5" x14ac:dyDescent="0.35">
      <c r="A36" s="114">
        <f>'[1]Matriz de riesgos'!A36</f>
        <v>26</v>
      </c>
      <c r="B36" s="120">
        <f>+'[1]Matriz seguimiento (1)'!B36</f>
        <v>0</v>
      </c>
      <c r="C36" s="164">
        <f>+'[1]Matriz seguimiento (1)'!C36</f>
        <v>0</v>
      </c>
      <c r="D36" s="115">
        <f>+'[1]Matriz seguimiento (1)'!D36</f>
        <v>0</v>
      </c>
      <c r="E36" s="116">
        <f>+'[1]Matriz seguimiento (1)'!E36</f>
        <v>0</v>
      </c>
      <c r="F36" s="117">
        <f>+'[1]Matriz seguimiento (1)'!F36</f>
        <v>0</v>
      </c>
      <c r="G36" s="118"/>
      <c r="H36" s="119"/>
      <c r="I36" s="120"/>
      <c r="J36" s="120"/>
      <c r="K36" s="121" t="e">
        <f t="shared" si="8"/>
        <v>#VALUE!</v>
      </c>
      <c r="L36" s="121" t="e">
        <f t="shared" si="9"/>
        <v>#VALUE!</v>
      </c>
      <c r="M36" s="122" t="e">
        <f t="shared" si="0"/>
        <v>#VALUE!</v>
      </c>
      <c r="N36" s="124" t="e">
        <f>IF(AND(G36="4 - Alto",M36=-4),"MODERADO",VLOOKUP(M36,[1]Parámetros!$B$20:$C$70,2,FALSE))</f>
        <v>#VALUE!</v>
      </c>
      <c r="O36" s="118">
        <f>+'[1]Matriz seguimiento (1)'!O36</f>
        <v>0</v>
      </c>
      <c r="P36" s="118">
        <f>+'[1]Matriz seguimiento (1)'!P36</f>
        <v>0</v>
      </c>
      <c r="Q36" s="123">
        <f>+'[1]Matriz seguimiento (1)'!Q36</f>
        <v>0</v>
      </c>
      <c r="R36" s="119">
        <f>+'[1]Matriz seguimiento (1)'!R36</f>
        <v>0</v>
      </c>
      <c r="S36" s="118">
        <f>+'[1]Matriz seguimiento (1)'!S36</f>
        <v>0</v>
      </c>
      <c r="T36" s="119">
        <f>O36</f>
        <v>0</v>
      </c>
      <c r="U36" s="118">
        <f t="shared" si="2"/>
        <v>0</v>
      </c>
      <c r="V36" s="119" t="e">
        <f t="shared" si="3"/>
        <v>#VALUE!</v>
      </c>
      <c r="W36" s="119" t="e">
        <f t="shared" si="4"/>
        <v>#VALUE!</v>
      </c>
      <c r="X36" s="119" t="e">
        <f t="shared" si="5"/>
        <v>#VALUE!</v>
      </c>
      <c r="Y36" s="118" t="e">
        <f t="shared" si="6"/>
        <v>#VALUE!</v>
      </c>
      <c r="Z36" s="124" t="e">
        <f t="shared" si="1"/>
        <v>#VALUE!</v>
      </c>
      <c r="AA36" s="165" t="e">
        <f>IF(AND(U36="4 - Alto",Z36=-4),"MODERADO",VLOOKUP(Z36,[1]Parámetros!$B$20:$C$70,2,FALSE))</f>
        <v>#VALUE!</v>
      </c>
      <c r="AB36" s="504"/>
      <c r="AC36" s="505"/>
    </row>
    <row r="37" spans="1:29" ht="15.5" x14ac:dyDescent="0.35">
      <c r="A37" s="125">
        <f>'[1]Matriz de riesgos'!A37</f>
        <v>27</v>
      </c>
      <c r="B37" s="129">
        <f>+'[1]Matriz seguimiento (1)'!B37</f>
        <v>0</v>
      </c>
      <c r="C37" s="126">
        <f>+'[1]Matriz seguimiento (1)'!C37</f>
        <v>0</v>
      </c>
      <c r="D37" s="126">
        <f>+'[1]Matriz seguimiento (1)'!D37</f>
        <v>0</v>
      </c>
      <c r="E37" s="126">
        <f>+'[1]Matriz seguimiento (1)'!E37</f>
        <v>0</v>
      </c>
      <c r="F37" s="129">
        <f>+'[1]Matriz seguimiento (1)'!F37</f>
        <v>0</v>
      </c>
      <c r="G37" s="128"/>
      <c r="H37" s="127"/>
      <c r="I37" s="129"/>
      <c r="J37" s="129"/>
      <c r="K37" s="130" t="e">
        <f t="shared" si="8"/>
        <v>#VALUE!</v>
      </c>
      <c r="L37" s="130" t="e">
        <f t="shared" si="9"/>
        <v>#VALUE!</v>
      </c>
      <c r="M37" s="131" t="e">
        <f t="shared" si="0"/>
        <v>#VALUE!</v>
      </c>
      <c r="N37" s="132" t="e">
        <f>IF(AND(G37="4 - Alto",M37=-4),"MODERADO",VLOOKUP(M37,[1]Parámetros!$B$20:$C$70,2,FALSE))</f>
        <v>#VALUE!</v>
      </c>
      <c r="O37" s="128">
        <f>+'[1]Matriz seguimiento (1)'!O37</f>
        <v>0</v>
      </c>
      <c r="P37" s="128">
        <f>+'[1]Matriz seguimiento (1)'!P37</f>
        <v>0</v>
      </c>
      <c r="Q37" s="133">
        <f>+'[1]Matriz seguimiento (1)'!Q37</f>
        <v>0</v>
      </c>
      <c r="R37" s="127">
        <f>+'[1]Matriz seguimiento (1)'!R37</f>
        <v>0</v>
      </c>
      <c r="S37" s="128">
        <f>+'[1]Matriz seguimiento (1)'!S37</f>
        <v>0</v>
      </c>
      <c r="T37" s="129">
        <f t="shared" si="7"/>
        <v>0</v>
      </c>
      <c r="U37" s="128">
        <f t="shared" si="2"/>
        <v>0</v>
      </c>
      <c r="V37" s="127" t="e">
        <f t="shared" si="3"/>
        <v>#VALUE!</v>
      </c>
      <c r="W37" s="127" t="e">
        <f t="shared" si="4"/>
        <v>#VALUE!</v>
      </c>
      <c r="X37" s="127" t="e">
        <f t="shared" si="5"/>
        <v>#VALUE!</v>
      </c>
      <c r="Y37" s="128" t="e">
        <f t="shared" si="6"/>
        <v>#VALUE!</v>
      </c>
      <c r="Z37" s="132" t="e">
        <f t="shared" si="1"/>
        <v>#VALUE!</v>
      </c>
      <c r="AA37" s="166" t="e">
        <f>IF(AND(U37="4 - Alto",Z37=-4),"MODERADO",VLOOKUP(Z37,[1]Parámetros!$B$20:$C$70,2,FALSE))</f>
        <v>#VALUE!</v>
      </c>
      <c r="AB37" s="502"/>
      <c r="AC37" s="503"/>
    </row>
    <row r="38" spans="1:29" ht="15.5" x14ac:dyDescent="0.35">
      <c r="A38" s="114">
        <f>'[1]Matriz de riesgos'!A38</f>
        <v>28</v>
      </c>
      <c r="B38" s="120">
        <f>+'[1]Matriz seguimiento (1)'!B38</f>
        <v>0</v>
      </c>
      <c r="C38" s="164">
        <f>+'[1]Matriz seguimiento (1)'!C38</f>
        <v>0</v>
      </c>
      <c r="D38" s="115">
        <f>+'[1]Matriz seguimiento (1)'!D38</f>
        <v>0</v>
      </c>
      <c r="E38" s="116">
        <f>+'[1]Matriz seguimiento (1)'!E38</f>
        <v>0</v>
      </c>
      <c r="F38" s="117">
        <f>+'[1]Matriz seguimiento (1)'!F38</f>
        <v>0</v>
      </c>
      <c r="G38" s="118"/>
      <c r="H38" s="119"/>
      <c r="I38" s="120"/>
      <c r="J38" s="120"/>
      <c r="K38" s="121" t="e">
        <f t="shared" si="8"/>
        <v>#VALUE!</v>
      </c>
      <c r="L38" s="121" t="e">
        <f t="shared" si="9"/>
        <v>#VALUE!</v>
      </c>
      <c r="M38" s="122" t="e">
        <f t="shared" si="0"/>
        <v>#VALUE!</v>
      </c>
      <c r="N38" s="124" t="e">
        <f>IF(AND(G38="4 - Alto",M38=-4),"MODERADO",VLOOKUP(M38,[1]Parámetros!$B$20:$C$70,2,FALSE))</f>
        <v>#VALUE!</v>
      </c>
      <c r="O38" s="118">
        <f>+'[1]Matriz seguimiento (1)'!O38</f>
        <v>0</v>
      </c>
      <c r="P38" s="118">
        <f>+'[1]Matriz seguimiento (1)'!P38</f>
        <v>0</v>
      </c>
      <c r="Q38" s="123">
        <f>+'[1]Matriz seguimiento (1)'!Q38</f>
        <v>0</v>
      </c>
      <c r="R38" s="119">
        <f>+'[1]Matriz seguimiento (1)'!R38</f>
        <v>0</v>
      </c>
      <c r="S38" s="118">
        <f>+'[1]Matriz seguimiento (1)'!S38</f>
        <v>0</v>
      </c>
      <c r="T38" s="119">
        <f t="shared" si="7"/>
        <v>0</v>
      </c>
      <c r="U38" s="118">
        <f t="shared" si="2"/>
        <v>0</v>
      </c>
      <c r="V38" s="119" t="e">
        <f t="shared" si="3"/>
        <v>#VALUE!</v>
      </c>
      <c r="W38" s="119" t="e">
        <f t="shared" si="4"/>
        <v>#VALUE!</v>
      </c>
      <c r="X38" s="119" t="e">
        <f t="shared" si="5"/>
        <v>#VALUE!</v>
      </c>
      <c r="Y38" s="118" t="e">
        <f t="shared" si="6"/>
        <v>#VALUE!</v>
      </c>
      <c r="Z38" s="124" t="e">
        <f t="shared" si="1"/>
        <v>#VALUE!</v>
      </c>
      <c r="AA38" s="165" t="e">
        <f>IF(AND(U38="4 - Alto",Z38=-4),"MODERADO",VLOOKUP(Z38,[1]Parámetros!$B$20:$C$70,2,FALSE))</f>
        <v>#VALUE!</v>
      </c>
      <c r="AB38" s="504"/>
      <c r="AC38" s="505"/>
    </row>
    <row r="39" spans="1:29" ht="15.5" x14ac:dyDescent="0.35">
      <c r="A39" s="125">
        <f>'[1]Matriz de riesgos'!A39</f>
        <v>29</v>
      </c>
      <c r="B39" s="129">
        <f>+'[1]Matriz seguimiento (1)'!B39</f>
        <v>0</v>
      </c>
      <c r="C39" s="126">
        <f>+'[1]Matriz seguimiento (1)'!C39</f>
        <v>0</v>
      </c>
      <c r="D39" s="126">
        <f>+'[1]Matriz seguimiento (1)'!D39</f>
        <v>0</v>
      </c>
      <c r="E39" s="126">
        <f>+'[1]Matriz seguimiento (1)'!E39</f>
        <v>0</v>
      </c>
      <c r="F39" s="129">
        <f>+'[1]Matriz seguimiento (1)'!F39</f>
        <v>0</v>
      </c>
      <c r="G39" s="128"/>
      <c r="H39" s="127"/>
      <c r="I39" s="129"/>
      <c r="J39" s="129"/>
      <c r="K39" s="130" t="e">
        <f t="shared" si="8"/>
        <v>#VALUE!</v>
      </c>
      <c r="L39" s="130" t="e">
        <f t="shared" si="9"/>
        <v>#VALUE!</v>
      </c>
      <c r="M39" s="131" t="e">
        <f t="shared" si="0"/>
        <v>#VALUE!</v>
      </c>
      <c r="N39" s="132" t="e">
        <f>IF(AND(G39="4 - Alto",M39=-4),"MODERADO",VLOOKUP(M39,[1]Parámetros!$B$20:$C$70,2,FALSE))</f>
        <v>#VALUE!</v>
      </c>
      <c r="O39" s="128">
        <f>+'[1]Matriz seguimiento (1)'!O39</f>
        <v>0</v>
      </c>
      <c r="P39" s="128">
        <f>+'[1]Matriz seguimiento (1)'!P39</f>
        <v>0</v>
      </c>
      <c r="Q39" s="133">
        <f>+'[1]Matriz seguimiento (1)'!Q39</f>
        <v>0</v>
      </c>
      <c r="R39" s="127">
        <f>+'[1]Matriz seguimiento (1)'!R39</f>
        <v>0</v>
      </c>
      <c r="S39" s="128">
        <f>+'[1]Matriz seguimiento (1)'!S39</f>
        <v>0</v>
      </c>
      <c r="T39" s="129">
        <f t="shared" si="7"/>
        <v>0</v>
      </c>
      <c r="U39" s="128">
        <f t="shared" si="2"/>
        <v>0</v>
      </c>
      <c r="V39" s="127" t="e">
        <f t="shared" si="3"/>
        <v>#VALUE!</v>
      </c>
      <c r="W39" s="127" t="e">
        <f t="shared" si="4"/>
        <v>#VALUE!</v>
      </c>
      <c r="X39" s="127" t="e">
        <f t="shared" si="5"/>
        <v>#VALUE!</v>
      </c>
      <c r="Y39" s="128" t="e">
        <f t="shared" si="6"/>
        <v>#VALUE!</v>
      </c>
      <c r="Z39" s="132" t="e">
        <f t="shared" si="1"/>
        <v>#VALUE!</v>
      </c>
      <c r="AA39" s="166" t="e">
        <f>IF(AND(U39="4 - Alto",Z39=-4),"MODERADO",VLOOKUP(Z39,[1]Parámetros!$B$20:$C$70,2,FALSE))</f>
        <v>#VALUE!</v>
      </c>
      <c r="AB39" s="502"/>
      <c r="AC39" s="503"/>
    </row>
    <row r="40" spans="1:29" ht="15.5" x14ac:dyDescent="0.35">
      <c r="A40" s="114">
        <f>'[1]Matriz de riesgos'!A40</f>
        <v>30</v>
      </c>
      <c r="B40" s="120">
        <f>+'[1]Matriz seguimiento (1)'!B40</f>
        <v>0</v>
      </c>
      <c r="C40" s="164">
        <f>+'[1]Matriz seguimiento (1)'!C40</f>
        <v>0</v>
      </c>
      <c r="D40" s="115">
        <f>+'[1]Matriz seguimiento (1)'!D40</f>
        <v>0</v>
      </c>
      <c r="E40" s="116">
        <f>+'[1]Matriz seguimiento (1)'!E40</f>
        <v>0</v>
      </c>
      <c r="F40" s="117">
        <f>+'[1]Matriz seguimiento (1)'!F40</f>
        <v>0</v>
      </c>
      <c r="G40" s="118"/>
      <c r="H40" s="119"/>
      <c r="I40" s="120"/>
      <c r="J40" s="120"/>
      <c r="K40" s="121" t="e">
        <f t="shared" si="8"/>
        <v>#VALUE!</v>
      </c>
      <c r="L40" s="121" t="e">
        <f t="shared" si="9"/>
        <v>#VALUE!</v>
      </c>
      <c r="M40" s="122" t="e">
        <f t="shared" si="0"/>
        <v>#VALUE!</v>
      </c>
      <c r="N40" s="124" t="e">
        <f>IF(AND(G40="4 - Alto",M40=-4),"MODERADO",VLOOKUP(M40,[1]Parámetros!$B$20:$C$70,2,FALSE))</f>
        <v>#VALUE!</v>
      </c>
      <c r="O40" s="118">
        <f>+'[1]Matriz seguimiento (1)'!O40</f>
        <v>0</v>
      </c>
      <c r="P40" s="118">
        <f>+'[1]Matriz seguimiento (1)'!P40</f>
        <v>0</v>
      </c>
      <c r="Q40" s="123">
        <f>+'[1]Matriz seguimiento (1)'!Q40</f>
        <v>0</v>
      </c>
      <c r="R40" s="119">
        <f>+'[1]Matriz seguimiento (1)'!R40</f>
        <v>0</v>
      </c>
      <c r="S40" s="118">
        <f>+'[1]Matriz seguimiento (1)'!S40</f>
        <v>0</v>
      </c>
      <c r="T40" s="119">
        <f t="shared" si="7"/>
        <v>0</v>
      </c>
      <c r="U40" s="118">
        <f t="shared" si="2"/>
        <v>0</v>
      </c>
      <c r="V40" s="119" t="e">
        <f t="shared" si="3"/>
        <v>#VALUE!</v>
      </c>
      <c r="W40" s="119" t="e">
        <f t="shared" si="4"/>
        <v>#VALUE!</v>
      </c>
      <c r="X40" s="119" t="e">
        <f t="shared" si="5"/>
        <v>#VALUE!</v>
      </c>
      <c r="Y40" s="118" t="e">
        <f t="shared" si="6"/>
        <v>#VALUE!</v>
      </c>
      <c r="Z40" s="124" t="e">
        <f t="shared" si="1"/>
        <v>#VALUE!</v>
      </c>
      <c r="AA40" s="165" t="e">
        <f>IF(AND(U40="4 - Alto",Z40=-4),"MODERADO",VLOOKUP(Z40,[1]Parámetros!$B$20:$C$70,2,FALSE))</f>
        <v>#VALUE!</v>
      </c>
      <c r="AB40" s="504"/>
      <c r="AC40" s="505"/>
    </row>
    <row r="41" spans="1:29" ht="15.5" x14ac:dyDescent="0.35">
      <c r="A41" s="125">
        <f>'[1]Matriz de riesgos'!A41</f>
        <v>31</v>
      </c>
      <c r="B41" s="129">
        <f>+'[1]Matriz seguimiento (1)'!B41</f>
        <v>0</v>
      </c>
      <c r="C41" s="126">
        <f>+'[1]Matriz seguimiento (1)'!C41</f>
        <v>0</v>
      </c>
      <c r="D41" s="126">
        <f>+'[1]Matriz seguimiento (1)'!D41</f>
        <v>0</v>
      </c>
      <c r="E41" s="126">
        <f>+'[1]Matriz seguimiento (1)'!E41</f>
        <v>0</v>
      </c>
      <c r="F41" s="129">
        <f>+'[1]Matriz seguimiento (1)'!F41</f>
        <v>0</v>
      </c>
      <c r="G41" s="128"/>
      <c r="H41" s="127"/>
      <c r="I41" s="129"/>
      <c r="J41" s="129"/>
      <c r="K41" s="130" t="e">
        <f t="shared" si="8"/>
        <v>#VALUE!</v>
      </c>
      <c r="L41" s="130" t="e">
        <f t="shared" si="9"/>
        <v>#VALUE!</v>
      </c>
      <c r="M41" s="131" t="e">
        <f t="shared" si="0"/>
        <v>#VALUE!</v>
      </c>
      <c r="N41" s="132" t="e">
        <f>IF(AND(G41="4 - Alto",M41=-4),"MODERADO",VLOOKUP(M41,[1]Parámetros!$B$20:$C$70,2,FALSE))</f>
        <v>#VALUE!</v>
      </c>
      <c r="O41" s="128">
        <f>+'[1]Matriz seguimiento (1)'!O41</f>
        <v>0</v>
      </c>
      <c r="P41" s="128">
        <f>+'[1]Matriz seguimiento (1)'!P41</f>
        <v>0</v>
      </c>
      <c r="Q41" s="133">
        <f>+'[1]Matriz seguimiento (1)'!Q41</f>
        <v>0</v>
      </c>
      <c r="R41" s="127">
        <f>+'[1]Matriz seguimiento (1)'!R41</f>
        <v>0</v>
      </c>
      <c r="S41" s="128">
        <f>+'[1]Matriz seguimiento (1)'!S41</f>
        <v>0</v>
      </c>
      <c r="T41" s="129">
        <f t="shared" si="7"/>
        <v>0</v>
      </c>
      <c r="U41" s="128">
        <f t="shared" si="2"/>
        <v>0</v>
      </c>
      <c r="V41" s="127" t="e">
        <f t="shared" si="3"/>
        <v>#VALUE!</v>
      </c>
      <c r="W41" s="127" t="e">
        <f t="shared" si="4"/>
        <v>#VALUE!</v>
      </c>
      <c r="X41" s="127" t="e">
        <f t="shared" si="5"/>
        <v>#VALUE!</v>
      </c>
      <c r="Y41" s="128" t="e">
        <f t="shared" si="6"/>
        <v>#VALUE!</v>
      </c>
      <c r="Z41" s="132" t="e">
        <f t="shared" si="1"/>
        <v>#VALUE!</v>
      </c>
      <c r="AA41" s="166" t="e">
        <f>IF(AND(U41="4 - Alto",Z41=-4),"MODERADO",VLOOKUP(Z41,[1]Parámetros!$B$20:$C$70,2,FALSE))</f>
        <v>#VALUE!</v>
      </c>
      <c r="AB41" s="502"/>
      <c r="AC41" s="503"/>
    </row>
    <row r="42" spans="1:29" ht="15.5" x14ac:dyDescent="0.35">
      <c r="A42" s="114">
        <f>'[1]Matriz de riesgos'!A42</f>
        <v>32</v>
      </c>
      <c r="B42" s="120">
        <f>+'[1]Matriz seguimiento (1)'!B42</f>
        <v>0</v>
      </c>
      <c r="C42" s="164">
        <f>+'[1]Matriz seguimiento (1)'!C42</f>
        <v>0</v>
      </c>
      <c r="D42" s="115">
        <f>+'[1]Matriz seguimiento (1)'!D42</f>
        <v>0</v>
      </c>
      <c r="E42" s="116">
        <f>+'[1]Matriz seguimiento (1)'!E42</f>
        <v>0</v>
      </c>
      <c r="F42" s="117">
        <f>+'[1]Matriz seguimiento (1)'!F42</f>
        <v>0</v>
      </c>
      <c r="G42" s="118"/>
      <c r="H42" s="119"/>
      <c r="I42" s="120"/>
      <c r="J42" s="120"/>
      <c r="K42" s="121" t="e">
        <f t="shared" si="8"/>
        <v>#VALUE!</v>
      </c>
      <c r="L42" s="121" t="e">
        <f t="shared" si="9"/>
        <v>#VALUE!</v>
      </c>
      <c r="M42" s="122" t="e">
        <f t="shared" si="0"/>
        <v>#VALUE!</v>
      </c>
      <c r="N42" s="124" t="e">
        <f>IF(AND(G42="4 - Alto",M42=-4),"MODERADO",VLOOKUP(M42,[1]Parámetros!$B$20:$C$70,2,FALSE))</f>
        <v>#VALUE!</v>
      </c>
      <c r="O42" s="118">
        <f>+'[1]Matriz seguimiento (1)'!O42</f>
        <v>0</v>
      </c>
      <c r="P42" s="118">
        <f>+'[1]Matriz seguimiento (1)'!P42</f>
        <v>0</v>
      </c>
      <c r="Q42" s="123">
        <f>+'[1]Matriz seguimiento (1)'!Q42</f>
        <v>0</v>
      </c>
      <c r="R42" s="119">
        <f>+'[1]Matriz seguimiento (1)'!R42</f>
        <v>0</v>
      </c>
      <c r="S42" s="118">
        <f>+'[1]Matriz seguimiento (1)'!S42</f>
        <v>0</v>
      </c>
      <c r="T42" s="119">
        <f t="shared" si="7"/>
        <v>0</v>
      </c>
      <c r="U42" s="118">
        <f t="shared" si="2"/>
        <v>0</v>
      </c>
      <c r="V42" s="119" t="e">
        <f t="shared" si="3"/>
        <v>#VALUE!</v>
      </c>
      <c r="W42" s="119" t="e">
        <f t="shared" si="4"/>
        <v>#VALUE!</v>
      </c>
      <c r="X42" s="119" t="e">
        <f t="shared" si="5"/>
        <v>#VALUE!</v>
      </c>
      <c r="Y42" s="118" t="e">
        <f t="shared" si="6"/>
        <v>#VALUE!</v>
      </c>
      <c r="Z42" s="124" t="e">
        <f t="shared" si="1"/>
        <v>#VALUE!</v>
      </c>
      <c r="AA42" s="165" t="e">
        <f>IF(AND(U42="4 - Alto",Z42=-4),"MODERADO",VLOOKUP(Z42,[1]Parámetros!$B$20:$C$70,2,FALSE))</f>
        <v>#VALUE!</v>
      </c>
      <c r="AB42" s="504"/>
      <c r="AC42" s="505"/>
    </row>
    <row r="43" spans="1:29" ht="15.5" x14ac:dyDescent="0.35">
      <c r="A43" s="125">
        <f>'[1]Matriz de riesgos'!A43</f>
        <v>33</v>
      </c>
      <c r="B43" s="129">
        <f>+'[1]Matriz seguimiento (1)'!B43</f>
        <v>0</v>
      </c>
      <c r="C43" s="126">
        <f>+'[1]Matriz seguimiento (1)'!C43</f>
        <v>0</v>
      </c>
      <c r="D43" s="126">
        <f>+'[1]Matriz seguimiento (1)'!D43</f>
        <v>0</v>
      </c>
      <c r="E43" s="126">
        <f>+'[1]Matriz seguimiento (1)'!E43</f>
        <v>0</v>
      </c>
      <c r="F43" s="129">
        <f>+'[1]Matriz seguimiento (1)'!F43</f>
        <v>0</v>
      </c>
      <c r="G43" s="128"/>
      <c r="H43" s="127"/>
      <c r="I43" s="129"/>
      <c r="J43" s="129"/>
      <c r="K43" s="130" t="e">
        <f t="shared" si="8"/>
        <v>#VALUE!</v>
      </c>
      <c r="L43" s="130" t="e">
        <f t="shared" si="9"/>
        <v>#VALUE!</v>
      </c>
      <c r="M43" s="131" t="e">
        <f t="shared" si="0"/>
        <v>#VALUE!</v>
      </c>
      <c r="N43" s="132" t="e">
        <f>IF(AND(G43="4 - Alto",M43=-4),"MODERADO",VLOOKUP(M43,[1]Parámetros!$B$20:$C$70,2,FALSE))</f>
        <v>#VALUE!</v>
      </c>
      <c r="O43" s="128">
        <f>+'[1]Matriz seguimiento (1)'!O43</f>
        <v>0</v>
      </c>
      <c r="P43" s="128">
        <f>+'[1]Matriz seguimiento (1)'!P43</f>
        <v>0</v>
      </c>
      <c r="Q43" s="133">
        <f>+'[1]Matriz seguimiento (1)'!Q43</f>
        <v>0</v>
      </c>
      <c r="R43" s="127">
        <f>+'[1]Matriz seguimiento (1)'!R43</f>
        <v>0</v>
      </c>
      <c r="S43" s="128">
        <f>+'[1]Matriz seguimiento (1)'!S43</f>
        <v>0</v>
      </c>
      <c r="T43" s="129">
        <f t="shared" si="7"/>
        <v>0</v>
      </c>
      <c r="U43" s="128">
        <f t="shared" si="2"/>
        <v>0</v>
      </c>
      <c r="V43" s="127" t="e">
        <f t="shared" si="3"/>
        <v>#VALUE!</v>
      </c>
      <c r="W43" s="127" t="e">
        <f t="shared" si="4"/>
        <v>#VALUE!</v>
      </c>
      <c r="X43" s="127" t="e">
        <f t="shared" si="5"/>
        <v>#VALUE!</v>
      </c>
      <c r="Y43" s="128" t="e">
        <f t="shared" si="6"/>
        <v>#VALUE!</v>
      </c>
      <c r="Z43" s="132" t="e">
        <f t="shared" si="1"/>
        <v>#VALUE!</v>
      </c>
      <c r="AA43" s="166" t="e">
        <f>IF(AND(U43="4 - Alto",Z43=-4),"MODERADO",VLOOKUP(Z43,[1]Parámetros!$B$20:$C$70,2,FALSE))</f>
        <v>#VALUE!</v>
      </c>
      <c r="AB43" s="502"/>
      <c r="AC43" s="503"/>
    </row>
    <row r="44" spans="1:29" ht="15.5" x14ac:dyDescent="0.35">
      <c r="A44" s="114">
        <f>'[1]Matriz de riesgos'!A44</f>
        <v>34</v>
      </c>
      <c r="B44" s="120">
        <f>+'[1]Matriz seguimiento (1)'!B44</f>
        <v>0</v>
      </c>
      <c r="C44" s="164">
        <f>+'[1]Matriz seguimiento (1)'!C44</f>
        <v>0</v>
      </c>
      <c r="D44" s="115">
        <f>+'[1]Matriz seguimiento (1)'!D44</f>
        <v>0</v>
      </c>
      <c r="E44" s="116">
        <f>+'[1]Matriz seguimiento (1)'!E44</f>
        <v>0</v>
      </c>
      <c r="F44" s="117">
        <f>+'[1]Matriz seguimiento (1)'!F44</f>
        <v>0</v>
      </c>
      <c r="G44" s="118"/>
      <c r="H44" s="119"/>
      <c r="I44" s="120"/>
      <c r="J44" s="120"/>
      <c r="K44" s="121" t="e">
        <f t="shared" si="8"/>
        <v>#VALUE!</v>
      </c>
      <c r="L44" s="121" t="e">
        <f t="shared" si="9"/>
        <v>#VALUE!</v>
      </c>
      <c r="M44" s="122" t="e">
        <f t="shared" si="0"/>
        <v>#VALUE!</v>
      </c>
      <c r="N44" s="124" t="e">
        <f>IF(AND(G44="4 - Alto",M44=-4),"MODERADO",VLOOKUP(M44,[1]Parámetros!$B$20:$C$70,2,FALSE))</f>
        <v>#VALUE!</v>
      </c>
      <c r="O44" s="118">
        <f>+'[1]Matriz seguimiento (1)'!O44</f>
        <v>0</v>
      </c>
      <c r="P44" s="118">
        <f>+'[1]Matriz seguimiento (1)'!P44</f>
        <v>0</v>
      </c>
      <c r="Q44" s="123">
        <f>+'[1]Matriz seguimiento (1)'!Q44</f>
        <v>0</v>
      </c>
      <c r="R44" s="119">
        <f>+'[1]Matriz seguimiento (1)'!R44</f>
        <v>0</v>
      </c>
      <c r="S44" s="118">
        <f>+'[1]Matriz seguimiento (1)'!S44</f>
        <v>0</v>
      </c>
      <c r="T44" s="119">
        <f t="shared" si="7"/>
        <v>0</v>
      </c>
      <c r="U44" s="118">
        <f t="shared" si="2"/>
        <v>0</v>
      </c>
      <c r="V44" s="119" t="e">
        <f t="shared" si="3"/>
        <v>#VALUE!</v>
      </c>
      <c r="W44" s="119" t="e">
        <f t="shared" si="4"/>
        <v>#VALUE!</v>
      </c>
      <c r="X44" s="119" t="e">
        <f t="shared" si="5"/>
        <v>#VALUE!</v>
      </c>
      <c r="Y44" s="118" t="e">
        <f t="shared" si="6"/>
        <v>#VALUE!</v>
      </c>
      <c r="Z44" s="124" t="e">
        <f t="shared" si="1"/>
        <v>#VALUE!</v>
      </c>
      <c r="AA44" s="165" t="e">
        <f>IF(AND(U44="4 - Alto",Z44=-4),"MODERADO",VLOOKUP(Z44,[1]Parámetros!$B$20:$C$70,2,FALSE))</f>
        <v>#VALUE!</v>
      </c>
      <c r="AB44" s="504"/>
      <c r="AC44" s="505"/>
    </row>
    <row r="45" spans="1:29" ht="15.5" x14ac:dyDescent="0.35">
      <c r="A45" s="125">
        <f>'[1]Matriz de riesgos'!A45</f>
        <v>35</v>
      </c>
      <c r="B45" s="129">
        <f>+'[1]Matriz seguimiento (1)'!B45</f>
        <v>0</v>
      </c>
      <c r="C45" s="126">
        <f>+'[1]Matriz seguimiento (1)'!C45</f>
        <v>0</v>
      </c>
      <c r="D45" s="126">
        <f>+'[1]Matriz seguimiento (1)'!D45</f>
        <v>0</v>
      </c>
      <c r="E45" s="126">
        <f>+'[1]Matriz seguimiento (1)'!E45</f>
        <v>0</v>
      </c>
      <c r="F45" s="129">
        <f>+'[1]Matriz seguimiento (1)'!F45</f>
        <v>0</v>
      </c>
      <c r="G45" s="128"/>
      <c r="H45" s="127"/>
      <c r="I45" s="129"/>
      <c r="J45" s="129"/>
      <c r="K45" s="130" t="e">
        <f t="shared" si="8"/>
        <v>#VALUE!</v>
      </c>
      <c r="L45" s="130" t="e">
        <f t="shared" si="9"/>
        <v>#VALUE!</v>
      </c>
      <c r="M45" s="131" t="e">
        <f t="shared" si="0"/>
        <v>#VALUE!</v>
      </c>
      <c r="N45" s="132" t="e">
        <f>IF(AND(G45="4 - Alto",M45=-4),"MODERADO",VLOOKUP(M45,[1]Parámetros!$B$20:$C$70,2,FALSE))</f>
        <v>#VALUE!</v>
      </c>
      <c r="O45" s="128">
        <f>+'[1]Matriz seguimiento (1)'!O45</f>
        <v>0</v>
      </c>
      <c r="P45" s="128">
        <f>+'[1]Matriz seguimiento (1)'!P45</f>
        <v>0</v>
      </c>
      <c r="Q45" s="133">
        <f>+'[1]Matriz seguimiento (1)'!Q45</f>
        <v>0</v>
      </c>
      <c r="R45" s="127">
        <f>+'[1]Matriz seguimiento (1)'!R45</f>
        <v>0</v>
      </c>
      <c r="S45" s="128">
        <f>+'[1]Matriz seguimiento (1)'!S45</f>
        <v>0</v>
      </c>
      <c r="T45" s="129">
        <f t="shared" si="7"/>
        <v>0</v>
      </c>
      <c r="U45" s="128">
        <f t="shared" si="2"/>
        <v>0</v>
      </c>
      <c r="V45" s="127" t="e">
        <f t="shared" si="3"/>
        <v>#VALUE!</v>
      </c>
      <c r="W45" s="127" t="e">
        <f t="shared" si="4"/>
        <v>#VALUE!</v>
      </c>
      <c r="X45" s="127" t="e">
        <f t="shared" si="5"/>
        <v>#VALUE!</v>
      </c>
      <c r="Y45" s="128" t="e">
        <f t="shared" si="6"/>
        <v>#VALUE!</v>
      </c>
      <c r="Z45" s="132" t="e">
        <f t="shared" si="1"/>
        <v>#VALUE!</v>
      </c>
      <c r="AA45" s="166" t="e">
        <f>IF(AND(U45="4 - Alto",Z45=-4),"MODERADO",VLOOKUP(Z45,[1]Parámetros!$B$20:$C$70,2,FALSE))</f>
        <v>#VALUE!</v>
      </c>
      <c r="AB45" s="502"/>
      <c r="AC45" s="503"/>
    </row>
    <row r="46" spans="1:29" ht="15.5" x14ac:dyDescent="0.35">
      <c r="A46" s="114">
        <f>'[1]Matriz de riesgos'!A46</f>
        <v>36</v>
      </c>
      <c r="B46" s="120">
        <f>+'[1]Matriz seguimiento (1)'!B46</f>
        <v>0</v>
      </c>
      <c r="C46" s="164">
        <f>+'[1]Matriz seguimiento (1)'!C46</f>
        <v>0</v>
      </c>
      <c r="D46" s="115">
        <f>+'[1]Matriz seguimiento (1)'!D46</f>
        <v>0</v>
      </c>
      <c r="E46" s="116">
        <f>+'[1]Matriz seguimiento (1)'!E46</f>
        <v>0</v>
      </c>
      <c r="F46" s="117">
        <f>+'[1]Matriz seguimiento (1)'!F46</f>
        <v>0</v>
      </c>
      <c r="G46" s="118"/>
      <c r="H46" s="119"/>
      <c r="I46" s="120"/>
      <c r="J46" s="120"/>
      <c r="K46" s="121" t="e">
        <f t="shared" si="8"/>
        <v>#VALUE!</v>
      </c>
      <c r="L46" s="121" t="e">
        <f t="shared" si="9"/>
        <v>#VALUE!</v>
      </c>
      <c r="M46" s="122" t="e">
        <f t="shared" si="0"/>
        <v>#VALUE!</v>
      </c>
      <c r="N46" s="124" t="e">
        <f>IF(AND(G46="4 - Alto",M46=-4),"MODERADO",VLOOKUP(M46,[1]Parámetros!$B$20:$C$70,2,FALSE))</f>
        <v>#VALUE!</v>
      </c>
      <c r="O46" s="118">
        <f>+'[1]Matriz seguimiento (1)'!O46</f>
        <v>0</v>
      </c>
      <c r="P46" s="118">
        <f>+'[1]Matriz seguimiento (1)'!P46</f>
        <v>0</v>
      </c>
      <c r="Q46" s="123">
        <f>+'[1]Matriz seguimiento (1)'!Q46</f>
        <v>0</v>
      </c>
      <c r="R46" s="119">
        <f>+'[1]Matriz seguimiento (1)'!R46</f>
        <v>0</v>
      </c>
      <c r="S46" s="118">
        <f>+'[1]Matriz seguimiento (1)'!S46</f>
        <v>0</v>
      </c>
      <c r="T46" s="119">
        <f t="shared" si="7"/>
        <v>0</v>
      </c>
      <c r="U46" s="118">
        <f t="shared" si="2"/>
        <v>0</v>
      </c>
      <c r="V46" s="119" t="e">
        <f t="shared" si="3"/>
        <v>#VALUE!</v>
      </c>
      <c r="W46" s="119" t="e">
        <f t="shared" si="4"/>
        <v>#VALUE!</v>
      </c>
      <c r="X46" s="119" t="e">
        <f t="shared" si="5"/>
        <v>#VALUE!</v>
      </c>
      <c r="Y46" s="118" t="e">
        <f t="shared" si="6"/>
        <v>#VALUE!</v>
      </c>
      <c r="Z46" s="124" t="e">
        <f t="shared" si="1"/>
        <v>#VALUE!</v>
      </c>
      <c r="AA46" s="165" t="e">
        <f>IF(AND(U46="4 - Alto",Z46=-4),"MODERADO",VLOOKUP(Z46,[1]Parámetros!$B$20:$C$70,2,FALSE))</f>
        <v>#VALUE!</v>
      </c>
      <c r="AB46" s="504"/>
      <c r="AC46" s="505"/>
    </row>
    <row r="47" spans="1:29" ht="15.5" x14ac:dyDescent="0.35">
      <c r="A47" s="125">
        <f>'[1]Matriz de riesgos'!A47</f>
        <v>37</v>
      </c>
      <c r="B47" s="129">
        <f>+'[1]Matriz seguimiento (1)'!B47</f>
        <v>0</v>
      </c>
      <c r="C47" s="126">
        <f>+'[1]Matriz seguimiento (1)'!C47</f>
        <v>0</v>
      </c>
      <c r="D47" s="126">
        <f>+'[1]Matriz seguimiento (1)'!D47</f>
        <v>0</v>
      </c>
      <c r="E47" s="126">
        <f>+'[1]Matriz seguimiento (1)'!E47</f>
        <v>0</v>
      </c>
      <c r="F47" s="129">
        <f>+'[1]Matriz seguimiento (1)'!F47</f>
        <v>0</v>
      </c>
      <c r="G47" s="128"/>
      <c r="H47" s="127"/>
      <c r="I47" s="129"/>
      <c r="J47" s="129"/>
      <c r="K47" s="130" t="e">
        <f t="shared" si="8"/>
        <v>#VALUE!</v>
      </c>
      <c r="L47" s="130" t="e">
        <f t="shared" si="9"/>
        <v>#VALUE!</v>
      </c>
      <c r="M47" s="131" t="e">
        <f t="shared" si="0"/>
        <v>#VALUE!</v>
      </c>
      <c r="N47" s="132" t="e">
        <f>IF(AND(G47="4 - Alto",M47=-4),"MODERADO",VLOOKUP(M47,[1]Parámetros!$B$20:$C$70,2,FALSE))</f>
        <v>#VALUE!</v>
      </c>
      <c r="O47" s="128">
        <f>+'[1]Matriz seguimiento (1)'!O47</f>
        <v>0</v>
      </c>
      <c r="P47" s="128">
        <f>+'[1]Matriz seguimiento (1)'!P47</f>
        <v>0</v>
      </c>
      <c r="Q47" s="133">
        <f>+'[1]Matriz seguimiento (1)'!Q47</f>
        <v>0</v>
      </c>
      <c r="R47" s="127">
        <f>+'[1]Matriz seguimiento (1)'!R47</f>
        <v>0</v>
      </c>
      <c r="S47" s="128">
        <f>+'[1]Matriz seguimiento (1)'!S47</f>
        <v>0</v>
      </c>
      <c r="T47" s="129">
        <f t="shared" si="7"/>
        <v>0</v>
      </c>
      <c r="U47" s="128">
        <f t="shared" si="2"/>
        <v>0</v>
      </c>
      <c r="V47" s="127" t="e">
        <f t="shared" si="3"/>
        <v>#VALUE!</v>
      </c>
      <c r="W47" s="127" t="e">
        <f t="shared" si="4"/>
        <v>#VALUE!</v>
      </c>
      <c r="X47" s="127" t="e">
        <f t="shared" si="5"/>
        <v>#VALUE!</v>
      </c>
      <c r="Y47" s="128" t="e">
        <f t="shared" si="6"/>
        <v>#VALUE!</v>
      </c>
      <c r="Z47" s="132" t="e">
        <f t="shared" si="1"/>
        <v>#VALUE!</v>
      </c>
      <c r="AA47" s="166" t="e">
        <f>IF(AND(U47="4 - Alto",Z47=-4),"MODERADO",VLOOKUP(Z47,[1]Parámetros!$B$20:$C$70,2,FALSE))</f>
        <v>#VALUE!</v>
      </c>
      <c r="AB47" s="502"/>
      <c r="AC47" s="503"/>
    </row>
    <row r="48" spans="1:29" ht="15.5" x14ac:dyDescent="0.35">
      <c r="A48" s="114">
        <f>'[1]Matriz de riesgos'!A48</f>
        <v>38</v>
      </c>
      <c r="B48" s="120">
        <f>+'[1]Matriz seguimiento (1)'!B48</f>
        <v>0</v>
      </c>
      <c r="C48" s="164">
        <f>+'[1]Matriz seguimiento (1)'!C48</f>
        <v>0</v>
      </c>
      <c r="D48" s="115">
        <f>+'[1]Matriz seguimiento (1)'!D48</f>
        <v>0</v>
      </c>
      <c r="E48" s="116">
        <f>+'[1]Matriz seguimiento (1)'!E48</f>
        <v>0</v>
      </c>
      <c r="F48" s="117">
        <f>+'[1]Matriz seguimiento (1)'!F48</f>
        <v>0</v>
      </c>
      <c r="G48" s="118"/>
      <c r="H48" s="119"/>
      <c r="I48" s="120"/>
      <c r="J48" s="120"/>
      <c r="K48" s="121" t="e">
        <f t="shared" si="8"/>
        <v>#VALUE!</v>
      </c>
      <c r="L48" s="121" t="e">
        <f t="shared" si="9"/>
        <v>#VALUE!</v>
      </c>
      <c r="M48" s="122" t="e">
        <f t="shared" si="0"/>
        <v>#VALUE!</v>
      </c>
      <c r="N48" s="124" t="e">
        <f>IF(AND(G48="4 - Alto",M48=-4),"MODERADO",VLOOKUP(M48,[1]Parámetros!$B$20:$C$70,2,FALSE))</f>
        <v>#VALUE!</v>
      </c>
      <c r="O48" s="118">
        <f>+'[1]Matriz seguimiento (1)'!O48</f>
        <v>0</v>
      </c>
      <c r="P48" s="118">
        <f>+'[1]Matriz seguimiento (1)'!P48</f>
        <v>0</v>
      </c>
      <c r="Q48" s="123">
        <f>+'[1]Matriz seguimiento (1)'!Q48</f>
        <v>0</v>
      </c>
      <c r="R48" s="119">
        <f>+'[1]Matriz seguimiento (1)'!R48</f>
        <v>0</v>
      </c>
      <c r="S48" s="118">
        <f>+'[1]Matriz seguimiento (1)'!S48</f>
        <v>0</v>
      </c>
      <c r="T48" s="119">
        <f t="shared" si="7"/>
        <v>0</v>
      </c>
      <c r="U48" s="118">
        <f t="shared" si="2"/>
        <v>0</v>
      </c>
      <c r="V48" s="119" t="e">
        <f t="shared" si="3"/>
        <v>#VALUE!</v>
      </c>
      <c r="W48" s="119" t="e">
        <f t="shared" si="4"/>
        <v>#VALUE!</v>
      </c>
      <c r="X48" s="119" t="e">
        <f t="shared" si="5"/>
        <v>#VALUE!</v>
      </c>
      <c r="Y48" s="118" t="e">
        <f t="shared" si="6"/>
        <v>#VALUE!</v>
      </c>
      <c r="Z48" s="124" t="e">
        <f t="shared" si="1"/>
        <v>#VALUE!</v>
      </c>
      <c r="AA48" s="165" t="e">
        <f>IF(AND(U48="4 - Alto",Z48=-4),"MODERADO",VLOOKUP(Z48,[1]Parámetros!$B$20:$C$70,2,FALSE))</f>
        <v>#VALUE!</v>
      </c>
      <c r="AB48" s="504"/>
      <c r="AC48" s="505"/>
    </row>
    <row r="49" spans="1:29" ht="15.5" x14ac:dyDescent="0.35">
      <c r="A49" s="125">
        <f>'[1]Matriz de riesgos'!A49</f>
        <v>39</v>
      </c>
      <c r="B49" s="129">
        <f>+'[1]Matriz seguimiento (1)'!B49</f>
        <v>0</v>
      </c>
      <c r="C49" s="126">
        <f>+'[1]Matriz seguimiento (1)'!C49</f>
        <v>0</v>
      </c>
      <c r="D49" s="126">
        <f>+'[1]Matriz seguimiento (1)'!D49</f>
        <v>0</v>
      </c>
      <c r="E49" s="126">
        <f>+'[1]Matriz seguimiento (1)'!E49</f>
        <v>0</v>
      </c>
      <c r="F49" s="129">
        <f>+'[1]Matriz seguimiento (1)'!F49</f>
        <v>0</v>
      </c>
      <c r="G49" s="128"/>
      <c r="H49" s="127"/>
      <c r="I49" s="129"/>
      <c r="J49" s="129"/>
      <c r="K49" s="130" t="e">
        <f t="shared" si="8"/>
        <v>#VALUE!</v>
      </c>
      <c r="L49" s="130" t="e">
        <f t="shared" si="9"/>
        <v>#VALUE!</v>
      </c>
      <c r="M49" s="131" t="e">
        <f t="shared" si="0"/>
        <v>#VALUE!</v>
      </c>
      <c r="N49" s="132" t="e">
        <f>IF(AND(G49="4 - Alto",M49=-4),"MODERADO",VLOOKUP(M49,[1]Parámetros!$B$20:$C$70,2,FALSE))</f>
        <v>#VALUE!</v>
      </c>
      <c r="O49" s="128">
        <f>+'[1]Matriz seguimiento (1)'!O49</f>
        <v>0</v>
      </c>
      <c r="P49" s="128">
        <f>+'[1]Matriz seguimiento (1)'!P49</f>
        <v>0</v>
      </c>
      <c r="Q49" s="133">
        <f>+'[1]Matriz seguimiento (1)'!Q49</f>
        <v>0</v>
      </c>
      <c r="R49" s="127">
        <f>+'[1]Matriz seguimiento (1)'!R49</f>
        <v>0</v>
      </c>
      <c r="S49" s="128">
        <f>+'[1]Matriz seguimiento (1)'!S49</f>
        <v>0</v>
      </c>
      <c r="T49" s="129">
        <f t="shared" si="7"/>
        <v>0</v>
      </c>
      <c r="U49" s="128">
        <f t="shared" si="2"/>
        <v>0</v>
      </c>
      <c r="V49" s="127" t="e">
        <f t="shared" si="3"/>
        <v>#VALUE!</v>
      </c>
      <c r="W49" s="127" t="e">
        <f t="shared" si="4"/>
        <v>#VALUE!</v>
      </c>
      <c r="X49" s="127" t="e">
        <f t="shared" si="5"/>
        <v>#VALUE!</v>
      </c>
      <c r="Y49" s="128" t="e">
        <f t="shared" si="6"/>
        <v>#VALUE!</v>
      </c>
      <c r="Z49" s="132" t="e">
        <f t="shared" si="1"/>
        <v>#VALUE!</v>
      </c>
      <c r="AA49" s="166" t="e">
        <f>IF(AND(U49="4 - Alto",Z49=-4),"MODERADO",VLOOKUP(Z49,[1]Parámetros!$B$20:$C$70,2,FALSE))</f>
        <v>#VALUE!</v>
      </c>
      <c r="AB49" s="502"/>
      <c r="AC49" s="503"/>
    </row>
    <row r="50" spans="1:29" ht="15.5" x14ac:dyDescent="0.35">
      <c r="A50" s="114">
        <f>'[1]Matriz de riesgos'!A50</f>
        <v>40</v>
      </c>
      <c r="B50" s="120">
        <f>+'[1]Matriz seguimiento (1)'!B50</f>
        <v>0</v>
      </c>
      <c r="C50" s="164">
        <f>+'[1]Matriz seguimiento (1)'!C50</f>
        <v>0</v>
      </c>
      <c r="D50" s="115">
        <f>+'[1]Matriz seguimiento (1)'!D50</f>
        <v>0</v>
      </c>
      <c r="E50" s="116">
        <f>+'[1]Matriz seguimiento (1)'!E50</f>
        <v>0</v>
      </c>
      <c r="F50" s="117">
        <f>+'[1]Matriz seguimiento (1)'!F50</f>
        <v>0</v>
      </c>
      <c r="G50" s="118"/>
      <c r="H50" s="119"/>
      <c r="I50" s="120"/>
      <c r="J50" s="120"/>
      <c r="K50" s="121" t="e">
        <f t="shared" si="8"/>
        <v>#VALUE!</v>
      </c>
      <c r="L50" s="121" t="e">
        <f t="shared" si="9"/>
        <v>#VALUE!</v>
      </c>
      <c r="M50" s="122" t="e">
        <f t="shared" si="0"/>
        <v>#VALUE!</v>
      </c>
      <c r="N50" s="124" t="e">
        <f>IF(AND(G50="4 - Alto",M50=-4),"MODERADO",VLOOKUP(M50,[1]Parámetros!$B$20:$C$70,2,FALSE))</f>
        <v>#VALUE!</v>
      </c>
      <c r="O50" s="118">
        <f>+'[1]Matriz seguimiento (1)'!O50</f>
        <v>0</v>
      </c>
      <c r="P50" s="118">
        <f>+'[1]Matriz seguimiento (1)'!P50</f>
        <v>0</v>
      </c>
      <c r="Q50" s="123">
        <f>+'[1]Matriz seguimiento (1)'!Q50</f>
        <v>0</v>
      </c>
      <c r="R50" s="119">
        <f>+'[1]Matriz seguimiento (1)'!R50</f>
        <v>0</v>
      </c>
      <c r="S50" s="118">
        <f>+'[1]Matriz seguimiento (1)'!S50</f>
        <v>0</v>
      </c>
      <c r="T50" s="119">
        <f t="shared" si="7"/>
        <v>0</v>
      </c>
      <c r="U50" s="118">
        <f t="shared" si="2"/>
        <v>0</v>
      </c>
      <c r="V50" s="119" t="e">
        <f t="shared" si="3"/>
        <v>#VALUE!</v>
      </c>
      <c r="W50" s="119" t="e">
        <f t="shared" si="4"/>
        <v>#VALUE!</v>
      </c>
      <c r="X50" s="119" t="e">
        <f t="shared" si="5"/>
        <v>#VALUE!</v>
      </c>
      <c r="Y50" s="118" t="e">
        <f t="shared" si="6"/>
        <v>#VALUE!</v>
      </c>
      <c r="Z50" s="124" t="e">
        <f t="shared" si="1"/>
        <v>#VALUE!</v>
      </c>
      <c r="AA50" s="165" t="e">
        <f>IF(AND(U50="4 - Alto",Z50=-4),"MODERADO",VLOOKUP(Z50,[1]Parámetros!$B$20:$C$70,2,FALSE))</f>
        <v>#VALUE!</v>
      </c>
      <c r="AB50" s="504"/>
      <c r="AC50" s="505"/>
    </row>
    <row r="51" spans="1:29" ht="15" customHeight="1" x14ac:dyDescent="0.35">
      <c r="A51" s="125">
        <f>'[1]Matriz de riesgos'!A51</f>
        <v>41</v>
      </c>
      <c r="B51" s="129">
        <f>+'[1]Matriz seguimiento (1)'!B51</f>
        <v>0</v>
      </c>
      <c r="C51" s="126">
        <f>+'[1]Matriz seguimiento (1)'!C51</f>
        <v>0</v>
      </c>
      <c r="D51" s="126">
        <f>+'[1]Matriz seguimiento (1)'!D51</f>
        <v>0</v>
      </c>
      <c r="E51" s="126">
        <f>+'[1]Matriz seguimiento (1)'!E51</f>
        <v>0</v>
      </c>
      <c r="F51" s="129">
        <f>+'[1]Matriz seguimiento (1)'!F51</f>
        <v>0</v>
      </c>
      <c r="G51" s="128"/>
      <c r="H51" s="127"/>
      <c r="I51" s="129"/>
      <c r="J51" s="129"/>
      <c r="K51" s="130" t="e">
        <f t="shared" si="8"/>
        <v>#VALUE!</v>
      </c>
      <c r="L51" s="130" t="e">
        <f t="shared" si="9"/>
        <v>#VALUE!</v>
      </c>
      <c r="M51" s="131" t="e">
        <f t="shared" si="0"/>
        <v>#VALUE!</v>
      </c>
      <c r="N51" s="132" t="e">
        <f>IF(AND(G51="4 - Alto",M51=-4),"MODERADO",VLOOKUP(M51,[1]Parámetros!$B$20:$C$70,2,FALSE))</f>
        <v>#VALUE!</v>
      </c>
      <c r="O51" s="128">
        <f>+'[1]Matriz seguimiento (1)'!O51</f>
        <v>0</v>
      </c>
      <c r="P51" s="128">
        <f>+'[1]Matriz seguimiento (1)'!P51</f>
        <v>0</v>
      </c>
      <c r="Q51" s="133">
        <f>+'[1]Matriz seguimiento (1)'!Q51</f>
        <v>0</v>
      </c>
      <c r="R51" s="127">
        <f>+'[1]Matriz seguimiento (1)'!R51</f>
        <v>0</v>
      </c>
      <c r="S51" s="128">
        <f>+'[1]Matriz seguimiento (1)'!S51</f>
        <v>0</v>
      </c>
      <c r="T51" s="129">
        <f t="shared" si="7"/>
        <v>0</v>
      </c>
      <c r="U51" s="128">
        <f t="shared" si="2"/>
        <v>0</v>
      </c>
      <c r="V51" s="127" t="e">
        <f t="shared" si="3"/>
        <v>#VALUE!</v>
      </c>
      <c r="W51" s="127" t="e">
        <f t="shared" si="4"/>
        <v>#VALUE!</v>
      </c>
      <c r="X51" s="127" t="e">
        <f t="shared" si="5"/>
        <v>#VALUE!</v>
      </c>
      <c r="Y51" s="128" t="e">
        <f t="shared" si="6"/>
        <v>#VALUE!</v>
      </c>
      <c r="Z51" s="132" t="e">
        <f t="shared" si="1"/>
        <v>#VALUE!</v>
      </c>
      <c r="AA51" s="166" t="e">
        <f>IF(AND(U51="4 - Alto",Z51=-4),"MODERADO",VLOOKUP(Z51,[1]Parámetros!$B$20:$C$70,2,FALSE))</f>
        <v>#VALUE!</v>
      </c>
      <c r="AB51" s="502"/>
      <c r="AC51" s="503"/>
    </row>
    <row r="52" spans="1:29" ht="15.5" x14ac:dyDescent="0.35">
      <c r="A52" s="114">
        <f>'[1]Matriz de riesgos'!A52</f>
        <v>42</v>
      </c>
      <c r="B52" s="120">
        <f>+'[1]Matriz seguimiento (1)'!B52</f>
        <v>0</v>
      </c>
      <c r="C52" s="164">
        <f>+'[1]Matriz seguimiento (1)'!C52</f>
        <v>0</v>
      </c>
      <c r="D52" s="115">
        <f>+'[1]Matriz seguimiento (1)'!D52</f>
        <v>0</v>
      </c>
      <c r="E52" s="116">
        <f>+'[1]Matriz seguimiento (1)'!E52</f>
        <v>0</v>
      </c>
      <c r="F52" s="117">
        <f>+'[1]Matriz seguimiento (1)'!F52</f>
        <v>0</v>
      </c>
      <c r="G52" s="118"/>
      <c r="H52" s="119"/>
      <c r="I52" s="120"/>
      <c r="J52" s="120"/>
      <c r="K52" s="121" t="e">
        <f t="shared" si="8"/>
        <v>#VALUE!</v>
      </c>
      <c r="L52" s="121" t="e">
        <f t="shared" si="9"/>
        <v>#VALUE!</v>
      </c>
      <c r="M52" s="122" t="e">
        <f t="shared" si="0"/>
        <v>#VALUE!</v>
      </c>
      <c r="N52" s="124" t="e">
        <f>IF(AND(G52="4 - Alto",M52=-4),"MODERADO",VLOOKUP(M52,[1]Parámetros!$B$20:$C$70,2,FALSE))</f>
        <v>#VALUE!</v>
      </c>
      <c r="O52" s="118">
        <f>+'[1]Matriz seguimiento (1)'!O52</f>
        <v>0</v>
      </c>
      <c r="P52" s="118">
        <f>+'[1]Matriz seguimiento (1)'!P52</f>
        <v>0</v>
      </c>
      <c r="Q52" s="123">
        <f>+'[1]Matriz seguimiento (1)'!Q52</f>
        <v>0</v>
      </c>
      <c r="R52" s="119">
        <f>+'[1]Matriz seguimiento (1)'!R52</f>
        <v>0</v>
      </c>
      <c r="S52" s="118">
        <f>+'[1]Matriz seguimiento (1)'!S52</f>
        <v>0</v>
      </c>
      <c r="T52" s="119">
        <f t="shared" si="7"/>
        <v>0</v>
      </c>
      <c r="U52" s="118">
        <f t="shared" si="2"/>
        <v>0</v>
      </c>
      <c r="V52" s="119" t="e">
        <f t="shared" si="3"/>
        <v>#VALUE!</v>
      </c>
      <c r="W52" s="119" t="e">
        <f t="shared" si="4"/>
        <v>#VALUE!</v>
      </c>
      <c r="X52" s="119" t="e">
        <f t="shared" si="5"/>
        <v>#VALUE!</v>
      </c>
      <c r="Y52" s="118" t="e">
        <f t="shared" si="6"/>
        <v>#VALUE!</v>
      </c>
      <c r="Z52" s="124" t="e">
        <f t="shared" si="1"/>
        <v>#VALUE!</v>
      </c>
      <c r="AA52" s="165" t="e">
        <f>IF(AND(U52="4 - Alto",Z52=-4),"MODERADO",VLOOKUP(Z52,[1]Parámetros!$B$20:$C$70,2,FALSE))</f>
        <v>#VALUE!</v>
      </c>
      <c r="AB52" s="504"/>
      <c r="AC52" s="505"/>
    </row>
    <row r="53" spans="1:29" ht="15.5" x14ac:dyDescent="0.35">
      <c r="A53" s="125">
        <f>'[1]Matriz de riesgos'!A53</f>
        <v>43</v>
      </c>
      <c r="B53" s="129">
        <f>+'[1]Matriz seguimiento (1)'!B53</f>
        <v>0</v>
      </c>
      <c r="C53" s="126">
        <f>+'[1]Matriz seguimiento (1)'!C53</f>
        <v>0</v>
      </c>
      <c r="D53" s="126">
        <f>+'[1]Matriz seguimiento (1)'!D53</f>
        <v>0</v>
      </c>
      <c r="E53" s="126">
        <f>+'[1]Matriz seguimiento (1)'!E53</f>
        <v>0</v>
      </c>
      <c r="F53" s="129">
        <f>+'[1]Matriz seguimiento (1)'!F53</f>
        <v>0</v>
      </c>
      <c r="G53" s="128"/>
      <c r="H53" s="127"/>
      <c r="I53" s="129"/>
      <c r="J53" s="129"/>
      <c r="K53" s="130" t="e">
        <f t="shared" si="8"/>
        <v>#VALUE!</v>
      </c>
      <c r="L53" s="130" t="e">
        <f t="shared" si="9"/>
        <v>#VALUE!</v>
      </c>
      <c r="M53" s="131" t="e">
        <f t="shared" si="0"/>
        <v>#VALUE!</v>
      </c>
      <c r="N53" s="132" t="e">
        <f>IF(AND(G53="4 - Alto",M53=-4),"MODERADO",VLOOKUP(M53,[1]Parámetros!$B$20:$C$70,2,FALSE))</f>
        <v>#VALUE!</v>
      </c>
      <c r="O53" s="128">
        <f>+'[1]Matriz seguimiento (1)'!O53</f>
        <v>0</v>
      </c>
      <c r="P53" s="128">
        <f>+'[1]Matriz seguimiento (1)'!P53</f>
        <v>0</v>
      </c>
      <c r="Q53" s="133">
        <f>+'[1]Matriz seguimiento (1)'!Q53</f>
        <v>0</v>
      </c>
      <c r="R53" s="127">
        <f>+'[1]Matriz seguimiento (1)'!R53</f>
        <v>0</v>
      </c>
      <c r="S53" s="128">
        <f>+'[1]Matriz seguimiento (1)'!S53</f>
        <v>0</v>
      </c>
      <c r="T53" s="129">
        <f t="shared" si="7"/>
        <v>0</v>
      </c>
      <c r="U53" s="128">
        <f t="shared" si="2"/>
        <v>0</v>
      </c>
      <c r="V53" s="127" t="e">
        <f t="shared" si="3"/>
        <v>#VALUE!</v>
      </c>
      <c r="W53" s="127" t="e">
        <f t="shared" si="4"/>
        <v>#VALUE!</v>
      </c>
      <c r="X53" s="127" t="e">
        <f t="shared" si="5"/>
        <v>#VALUE!</v>
      </c>
      <c r="Y53" s="128" t="e">
        <f t="shared" si="6"/>
        <v>#VALUE!</v>
      </c>
      <c r="Z53" s="132" t="e">
        <f t="shared" si="1"/>
        <v>#VALUE!</v>
      </c>
      <c r="AA53" s="166" t="e">
        <f>IF(AND(U53="4 - Alto",Z53=-4),"MODERADO",VLOOKUP(Z53,[1]Parámetros!$B$20:$C$70,2,FALSE))</f>
        <v>#VALUE!</v>
      </c>
      <c r="AB53" s="502"/>
      <c r="AC53" s="503"/>
    </row>
    <row r="54" spans="1:29" ht="15.5" x14ac:dyDescent="0.35">
      <c r="A54" s="114">
        <f>'[1]Matriz de riesgos'!A54</f>
        <v>44</v>
      </c>
      <c r="B54" s="120">
        <f>+'[1]Matriz seguimiento (1)'!B54</f>
        <v>0</v>
      </c>
      <c r="C54" s="164">
        <f>+'[1]Matriz seguimiento (1)'!C54</f>
        <v>0</v>
      </c>
      <c r="D54" s="115">
        <f>+'[1]Matriz seguimiento (1)'!D54</f>
        <v>0</v>
      </c>
      <c r="E54" s="116">
        <f>+'[1]Matriz seguimiento (1)'!E54</f>
        <v>0</v>
      </c>
      <c r="F54" s="117">
        <f>+'[1]Matriz seguimiento (1)'!F54</f>
        <v>0</v>
      </c>
      <c r="G54" s="118"/>
      <c r="H54" s="119"/>
      <c r="I54" s="120"/>
      <c r="J54" s="120"/>
      <c r="K54" s="121" t="e">
        <f t="shared" si="8"/>
        <v>#VALUE!</v>
      </c>
      <c r="L54" s="121" t="e">
        <f t="shared" si="9"/>
        <v>#VALUE!</v>
      </c>
      <c r="M54" s="122" t="e">
        <f t="shared" si="0"/>
        <v>#VALUE!</v>
      </c>
      <c r="N54" s="124" t="e">
        <f>IF(AND(G54="4 - Alto",M54=-4),"MODERADO",VLOOKUP(M54,[1]Parámetros!$B$20:$C$70,2,FALSE))</f>
        <v>#VALUE!</v>
      </c>
      <c r="O54" s="118">
        <f>+'[1]Matriz seguimiento (1)'!O54</f>
        <v>0</v>
      </c>
      <c r="P54" s="118">
        <f>+'[1]Matriz seguimiento (1)'!P54</f>
        <v>0</v>
      </c>
      <c r="Q54" s="123">
        <f>+'[1]Matriz seguimiento (1)'!Q54</f>
        <v>0</v>
      </c>
      <c r="R54" s="119">
        <f>+'[1]Matriz seguimiento (1)'!R54</f>
        <v>0</v>
      </c>
      <c r="S54" s="118">
        <f>+'[1]Matriz seguimiento (1)'!S54</f>
        <v>0</v>
      </c>
      <c r="T54" s="119">
        <f t="shared" si="7"/>
        <v>0</v>
      </c>
      <c r="U54" s="118">
        <f t="shared" si="2"/>
        <v>0</v>
      </c>
      <c r="V54" s="119" t="e">
        <f t="shared" si="3"/>
        <v>#VALUE!</v>
      </c>
      <c r="W54" s="119" t="e">
        <f t="shared" si="4"/>
        <v>#VALUE!</v>
      </c>
      <c r="X54" s="119" t="e">
        <f t="shared" si="5"/>
        <v>#VALUE!</v>
      </c>
      <c r="Y54" s="118" t="e">
        <f t="shared" si="6"/>
        <v>#VALUE!</v>
      </c>
      <c r="Z54" s="124" t="e">
        <f t="shared" si="1"/>
        <v>#VALUE!</v>
      </c>
      <c r="AA54" s="165" t="e">
        <f>IF(AND(U54="4 - Alto",Z54=-4),"MODERADO",VLOOKUP(Z54,[1]Parámetros!$B$20:$C$70,2,FALSE))</f>
        <v>#VALUE!</v>
      </c>
      <c r="AB54" s="504"/>
      <c r="AC54" s="505"/>
    </row>
    <row r="55" spans="1:29" ht="15.5" x14ac:dyDescent="0.35">
      <c r="A55" s="125">
        <f>'[1]Matriz de riesgos'!A55</f>
        <v>45</v>
      </c>
      <c r="B55" s="129">
        <f>+'[1]Matriz seguimiento (1)'!B55</f>
        <v>0</v>
      </c>
      <c r="C55" s="126">
        <f>+'[1]Matriz seguimiento (1)'!C55</f>
        <v>0</v>
      </c>
      <c r="D55" s="126">
        <f>+'[1]Matriz seguimiento (1)'!D55</f>
        <v>0</v>
      </c>
      <c r="E55" s="126">
        <f>+'[1]Matriz seguimiento (1)'!E55</f>
        <v>0</v>
      </c>
      <c r="F55" s="129">
        <f>+'[1]Matriz seguimiento (1)'!F55</f>
        <v>0</v>
      </c>
      <c r="G55" s="128"/>
      <c r="H55" s="127"/>
      <c r="I55" s="129"/>
      <c r="J55" s="129"/>
      <c r="K55" s="130" t="e">
        <f t="shared" si="8"/>
        <v>#VALUE!</v>
      </c>
      <c r="L55" s="130" t="e">
        <f t="shared" si="9"/>
        <v>#VALUE!</v>
      </c>
      <c r="M55" s="131" t="e">
        <f t="shared" si="0"/>
        <v>#VALUE!</v>
      </c>
      <c r="N55" s="132" t="e">
        <f>IF(AND(G55="4 - Alto",M55=-4),"MODERADO",VLOOKUP(M55,[1]Parámetros!$B$20:$C$70,2,FALSE))</f>
        <v>#VALUE!</v>
      </c>
      <c r="O55" s="128">
        <f>+'[1]Matriz seguimiento (1)'!O55</f>
        <v>0</v>
      </c>
      <c r="P55" s="128">
        <f>+'[1]Matriz seguimiento (1)'!P55</f>
        <v>0</v>
      </c>
      <c r="Q55" s="133">
        <f>+'[1]Matriz seguimiento (1)'!Q55</f>
        <v>0</v>
      </c>
      <c r="R55" s="127">
        <f>+'[1]Matriz seguimiento (1)'!R55</f>
        <v>0</v>
      </c>
      <c r="S55" s="128">
        <f>+'[1]Matriz seguimiento (1)'!S55</f>
        <v>0</v>
      </c>
      <c r="T55" s="129">
        <f t="shared" si="7"/>
        <v>0</v>
      </c>
      <c r="U55" s="128">
        <f t="shared" si="2"/>
        <v>0</v>
      </c>
      <c r="V55" s="127" t="e">
        <f t="shared" si="3"/>
        <v>#VALUE!</v>
      </c>
      <c r="W55" s="127" t="e">
        <f t="shared" si="4"/>
        <v>#VALUE!</v>
      </c>
      <c r="X55" s="127" t="e">
        <f t="shared" si="5"/>
        <v>#VALUE!</v>
      </c>
      <c r="Y55" s="128" t="e">
        <f t="shared" si="6"/>
        <v>#VALUE!</v>
      </c>
      <c r="Z55" s="132" t="e">
        <f t="shared" si="1"/>
        <v>#VALUE!</v>
      </c>
      <c r="AA55" s="166" t="e">
        <f>IF(AND(U55="4 - Alto",Z55=-4),"MODERADO",VLOOKUP(Z55,[1]Parámetros!$B$20:$C$70,2,FALSE))</f>
        <v>#VALUE!</v>
      </c>
      <c r="AB55" s="502"/>
      <c r="AC55" s="503"/>
    </row>
    <row r="56" spans="1:29" ht="15.5" x14ac:dyDescent="0.35">
      <c r="A56" s="114">
        <f>'[1]Matriz de riesgos'!A56</f>
        <v>46</v>
      </c>
      <c r="B56" s="120">
        <f>+'[1]Matriz seguimiento (1)'!B56</f>
        <v>0</v>
      </c>
      <c r="C56" s="164">
        <f>+'[1]Matriz seguimiento (1)'!C56</f>
        <v>0</v>
      </c>
      <c r="D56" s="115">
        <f>+'[1]Matriz seguimiento (1)'!D56</f>
        <v>0</v>
      </c>
      <c r="E56" s="116">
        <f>+'[1]Matriz seguimiento (1)'!E56</f>
        <v>0</v>
      </c>
      <c r="F56" s="117">
        <f>+'[1]Matriz seguimiento (1)'!F56</f>
        <v>0</v>
      </c>
      <c r="G56" s="118"/>
      <c r="H56" s="119"/>
      <c r="I56" s="120"/>
      <c r="J56" s="120"/>
      <c r="K56" s="121" t="e">
        <f t="shared" si="8"/>
        <v>#VALUE!</v>
      </c>
      <c r="L56" s="121" t="e">
        <f t="shared" si="9"/>
        <v>#VALUE!</v>
      </c>
      <c r="M56" s="122" t="e">
        <f t="shared" si="0"/>
        <v>#VALUE!</v>
      </c>
      <c r="N56" s="124" t="e">
        <f>IF(AND(G56="4 - Alto",M56=-4),"MODERADO",VLOOKUP(M56,[1]Parámetros!$B$20:$C$70,2,FALSE))</f>
        <v>#VALUE!</v>
      </c>
      <c r="O56" s="118">
        <f>+'[1]Matriz seguimiento (1)'!O56</f>
        <v>0</v>
      </c>
      <c r="P56" s="118">
        <f>+'[1]Matriz seguimiento (1)'!P56</f>
        <v>0</v>
      </c>
      <c r="Q56" s="123">
        <f>+'[1]Matriz seguimiento (1)'!Q56</f>
        <v>0</v>
      </c>
      <c r="R56" s="119">
        <f>+'[1]Matriz seguimiento (1)'!R56</f>
        <v>0</v>
      </c>
      <c r="S56" s="118">
        <f>+'[1]Matriz seguimiento (1)'!S56</f>
        <v>0</v>
      </c>
      <c r="T56" s="119">
        <f t="shared" si="7"/>
        <v>0</v>
      </c>
      <c r="U56" s="118">
        <f t="shared" si="2"/>
        <v>0</v>
      </c>
      <c r="V56" s="119" t="e">
        <f t="shared" si="3"/>
        <v>#VALUE!</v>
      </c>
      <c r="W56" s="119" t="e">
        <f t="shared" si="4"/>
        <v>#VALUE!</v>
      </c>
      <c r="X56" s="119" t="e">
        <f t="shared" si="5"/>
        <v>#VALUE!</v>
      </c>
      <c r="Y56" s="118" t="e">
        <f t="shared" si="6"/>
        <v>#VALUE!</v>
      </c>
      <c r="Z56" s="124" t="e">
        <f t="shared" si="1"/>
        <v>#VALUE!</v>
      </c>
      <c r="AA56" s="165" t="e">
        <f>IF(AND(U56="4 - Alto",Z56=-4),"MODERADO",VLOOKUP(Z56,[1]Parámetros!$B$20:$C$70,2,FALSE))</f>
        <v>#VALUE!</v>
      </c>
      <c r="AB56" s="504"/>
      <c r="AC56" s="505"/>
    </row>
    <row r="57" spans="1:29" ht="15.5" x14ac:dyDescent="0.35">
      <c r="A57" s="125">
        <f>'[1]Matriz de riesgos'!A57</f>
        <v>47</v>
      </c>
      <c r="B57" s="129">
        <f>+'[1]Matriz seguimiento (1)'!B57</f>
        <v>0</v>
      </c>
      <c r="C57" s="126">
        <f>+'[1]Matriz seguimiento (1)'!C57</f>
        <v>0</v>
      </c>
      <c r="D57" s="126">
        <f>+'[1]Matriz seguimiento (1)'!D57</f>
        <v>0</v>
      </c>
      <c r="E57" s="126">
        <f>+'[1]Matriz seguimiento (1)'!E57</f>
        <v>0</v>
      </c>
      <c r="F57" s="129">
        <f>+'[1]Matriz seguimiento (1)'!F57</f>
        <v>0</v>
      </c>
      <c r="G57" s="128"/>
      <c r="H57" s="127"/>
      <c r="I57" s="129"/>
      <c r="J57" s="129"/>
      <c r="K57" s="130" t="e">
        <f t="shared" si="8"/>
        <v>#VALUE!</v>
      </c>
      <c r="L57" s="130" t="e">
        <f t="shared" si="9"/>
        <v>#VALUE!</v>
      </c>
      <c r="M57" s="131" t="e">
        <f t="shared" si="0"/>
        <v>#VALUE!</v>
      </c>
      <c r="N57" s="132" t="e">
        <f>IF(AND(G57="4 - Alto",M57=-4),"MODERADO",VLOOKUP(M57,[1]Parámetros!$B$20:$C$70,2,FALSE))</f>
        <v>#VALUE!</v>
      </c>
      <c r="O57" s="128">
        <f>+'[1]Matriz seguimiento (1)'!O57</f>
        <v>0</v>
      </c>
      <c r="P57" s="128">
        <f>+'[1]Matriz seguimiento (1)'!P57</f>
        <v>0</v>
      </c>
      <c r="Q57" s="133">
        <f>+'[1]Matriz seguimiento (1)'!Q57</f>
        <v>0</v>
      </c>
      <c r="R57" s="127">
        <f>+'[1]Matriz seguimiento (1)'!R57</f>
        <v>0</v>
      </c>
      <c r="S57" s="128">
        <f>+'[1]Matriz seguimiento (1)'!S57</f>
        <v>0</v>
      </c>
      <c r="T57" s="129">
        <f t="shared" si="7"/>
        <v>0</v>
      </c>
      <c r="U57" s="128">
        <f t="shared" si="2"/>
        <v>0</v>
      </c>
      <c r="V57" s="127" t="e">
        <f t="shared" si="3"/>
        <v>#VALUE!</v>
      </c>
      <c r="W57" s="127" t="e">
        <f t="shared" si="4"/>
        <v>#VALUE!</v>
      </c>
      <c r="X57" s="127" t="e">
        <f t="shared" si="5"/>
        <v>#VALUE!</v>
      </c>
      <c r="Y57" s="128" t="e">
        <f t="shared" si="6"/>
        <v>#VALUE!</v>
      </c>
      <c r="Z57" s="132" t="e">
        <f t="shared" si="1"/>
        <v>#VALUE!</v>
      </c>
      <c r="AA57" s="166" t="e">
        <f>IF(AND(U57="4 - Alto",Z57=-4),"MODERADO",VLOOKUP(Z57,[1]Parámetros!$B$20:$C$70,2,FALSE))</f>
        <v>#VALUE!</v>
      </c>
      <c r="AB57" s="502"/>
      <c r="AC57" s="503"/>
    </row>
    <row r="58" spans="1:29" ht="15.5" x14ac:dyDescent="0.35">
      <c r="A58" s="114">
        <f>'[1]Matriz de riesgos'!A58</f>
        <v>48</v>
      </c>
      <c r="B58" s="120">
        <f>+'[1]Matriz seguimiento (1)'!B58</f>
        <v>0</v>
      </c>
      <c r="C58" s="164">
        <f>+'[1]Matriz seguimiento (1)'!C58</f>
        <v>0</v>
      </c>
      <c r="D58" s="115">
        <f>+'[1]Matriz seguimiento (1)'!D58</f>
        <v>0</v>
      </c>
      <c r="E58" s="116">
        <f>+'[1]Matriz seguimiento (1)'!E58</f>
        <v>0</v>
      </c>
      <c r="F58" s="117">
        <f>+'[1]Matriz seguimiento (1)'!F58</f>
        <v>0</v>
      </c>
      <c r="G58" s="118"/>
      <c r="H58" s="119"/>
      <c r="I58" s="120"/>
      <c r="J58" s="120"/>
      <c r="K58" s="121" t="e">
        <f t="shared" si="8"/>
        <v>#VALUE!</v>
      </c>
      <c r="L58" s="121" t="e">
        <f t="shared" si="9"/>
        <v>#VALUE!</v>
      </c>
      <c r="M58" s="122" t="e">
        <f t="shared" si="0"/>
        <v>#VALUE!</v>
      </c>
      <c r="N58" s="124" t="e">
        <f>IF(AND(G58="4 - Alto",M58=-4),"MODERADO",VLOOKUP(M58,[1]Parámetros!$B$20:$C$70,2,FALSE))</f>
        <v>#VALUE!</v>
      </c>
      <c r="O58" s="118">
        <f>+'[1]Matriz seguimiento (1)'!O58</f>
        <v>0</v>
      </c>
      <c r="P58" s="118">
        <f>+'[1]Matriz seguimiento (1)'!P58</f>
        <v>0</v>
      </c>
      <c r="Q58" s="123">
        <f>+'[1]Matriz seguimiento (1)'!Q58</f>
        <v>0</v>
      </c>
      <c r="R58" s="119">
        <f>+'[1]Matriz seguimiento (1)'!R58</f>
        <v>0</v>
      </c>
      <c r="S58" s="118">
        <f>+'[1]Matriz seguimiento (1)'!S58</f>
        <v>0</v>
      </c>
      <c r="T58" s="119">
        <f t="shared" si="7"/>
        <v>0</v>
      </c>
      <c r="U58" s="118">
        <f t="shared" si="2"/>
        <v>0</v>
      </c>
      <c r="V58" s="119" t="e">
        <f t="shared" si="3"/>
        <v>#VALUE!</v>
      </c>
      <c r="W58" s="119" t="e">
        <f t="shared" si="4"/>
        <v>#VALUE!</v>
      </c>
      <c r="X58" s="119" t="e">
        <f t="shared" si="5"/>
        <v>#VALUE!</v>
      </c>
      <c r="Y58" s="118" t="e">
        <f t="shared" si="6"/>
        <v>#VALUE!</v>
      </c>
      <c r="Z58" s="124" t="e">
        <f t="shared" si="1"/>
        <v>#VALUE!</v>
      </c>
      <c r="AA58" s="165" t="e">
        <f>IF(AND(U58="4 - Alto",Z58=-4),"MODERADO",VLOOKUP(Z58,[1]Parámetros!$B$20:$C$70,2,FALSE))</f>
        <v>#VALUE!</v>
      </c>
      <c r="AB58" s="504"/>
      <c r="AC58" s="505"/>
    </row>
    <row r="59" spans="1:29" ht="15.5" x14ac:dyDescent="0.35">
      <c r="A59" s="125">
        <f>'[1]Matriz de riesgos'!A59</f>
        <v>49</v>
      </c>
      <c r="B59" s="129">
        <f>+'[1]Matriz seguimiento (1)'!B59</f>
        <v>0</v>
      </c>
      <c r="C59" s="126">
        <f>+'[1]Matriz seguimiento (1)'!C59</f>
        <v>0</v>
      </c>
      <c r="D59" s="126">
        <f>+'[1]Matriz seguimiento (1)'!D59</f>
        <v>0</v>
      </c>
      <c r="E59" s="126">
        <f>+'[1]Matriz seguimiento (1)'!E59</f>
        <v>0</v>
      </c>
      <c r="F59" s="129">
        <f>+'[1]Matriz seguimiento (1)'!F59</f>
        <v>0</v>
      </c>
      <c r="G59" s="128"/>
      <c r="H59" s="127"/>
      <c r="I59" s="129"/>
      <c r="J59" s="129"/>
      <c r="K59" s="130" t="e">
        <f t="shared" si="8"/>
        <v>#VALUE!</v>
      </c>
      <c r="L59" s="130" t="e">
        <f t="shared" si="9"/>
        <v>#VALUE!</v>
      </c>
      <c r="M59" s="131" t="e">
        <f t="shared" si="0"/>
        <v>#VALUE!</v>
      </c>
      <c r="N59" s="132" t="e">
        <f>IF(AND(G59="4 - Alto",M59=-4),"MODERADO",VLOOKUP(M59,[1]Parámetros!$B$20:$C$70,2,FALSE))</f>
        <v>#VALUE!</v>
      </c>
      <c r="O59" s="128">
        <f>+'[1]Matriz seguimiento (1)'!O59</f>
        <v>0</v>
      </c>
      <c r="P59" s="128">
        <f>+'[1]Matriz seguimiento (1)'!P59</f>
        <v>0</v>
      </c>
      <c r="Q59" s="133">
        <f>+'[1]Matriz seguimiento (1)'!Q59</f>
        <v>0</v>
      </c>
      <c r="R59" s="127">
        <f>+'[1]Matriz seguimiento (1)'!R59</f>
        <v>0</v>
      </c>
      <c r="S59" s="128">
        <f>+'[1]Matriz seguimiento (1)'!S59</f>
        <v>0</v>
      </c>
      <c r="T59" s="129">
        <f t="shared" si="7"/>
        <v>0</v>
      </c>
      <c r="U59" s="128">
        <f t="shared" si="2"/>
        <v>0</v>
      </c>
      <c r="V59" s="127" t="e">
        <f t="shared" si="3"/>
        <v>#VALUE!</v>
      </c>
      <c r="W59" s="127" t="e">
        <f t="shared" si="4"/>
        <v>#VALUE!</v>
      </c>
      <c r="X59" s="127" t="e">
        <f t="shared" si="5"/>
        <v>#VALUE!</v>
      </c>
      <c r="Y59" s="128" t="e">
        <f t="shared" si="6"/>
        <v>#VALUE!</v>
      </c>
      <c r="Z59" s="132" t="e">
        <f t="shared" si="1"/>
        <v>#VALUE!</v>
      </c>
      <c r="AA59" s="166" t="e">
        <f>IF(AND(U59="4 - Alto",Z59=-4),"MODERADO",VLOOKUP(Z59,[1]Parámetros!$B$20:$C$70,2,FALSE))</f>
        <v>#VALUE!</v>
      </c>
      <c r="AB59" s="502"/>
      <c r="AC59" s="503"/>
    </row>
    <row r="60" spans="1:29" ht="15.75" customHeight="1" thickBot="1" x14ac:dyDescent="0.4">
      <c r="A60" s="134">
        <f>'[1]Matriz de riesgos'!A60</f>
        <v>50</v>
      </c>
      <c r="B60" s="138">
        <f>+'[1]Matriz seguimiento (1)'!B60</f>
        <v>0</v>
      </c>
      <c r="C60" s="167">
        <f>+'[1]Matriz seguimiento (1)'!C60</f>
        <v>0</v>
      </c>
      <c r="D60" s="168">
        <f>+'[1]Matriz seguimiento (1)'!D60</f>
        <v>0</v>
      </c>
      <c r="E60" s="135">
        <f>+'[1]Matriz seguimiento (1)'!E60</f>
        <v>0</v>
      </c>
      <c r="F60" s="141">
        <f>+'[1]Matriz seguimiento (1)'!F60</f>
        <v>0</v>
      </c>
      <c r="G60" s="137"/>
      <c r="H60" s="136"/>
      <c r="I60" s="138"/>
      <c r="J60" s="138"/>
      <c r="K60" s="139" t="e">
        <f t="shared" si="8"/>
        <v>#VALUE!</v>
      </c>
      <c r="L60" s="139" t="e">
        <f t="shared" si="9"/>
        <v>#VALUE!</v>
      </c>
      <c r="M60" s="140" t="e">
        <f t="shared" si="0"/>
        <v>#VALUE!</v>
      </c>
      <c r="N60" s="143" t="e">
        <f>IF(AND(G60="4 - Alto",M60=-4),"MODERADO",VLOOKUP(M60,[1]Parámetros!$B$20:$C$70,2,FALSE))</f>
        <v>#VALUE!</v>
      </c>
      <c r="O60" s="137">
        <f>+'[1]Matriz seguimiento (1)'!O60</f>
        <v>0</v>
      </c>
      <c r="P60" s="137">
        <f>+'[1]Matriz seguimiento (1)'!P60</f>
        <v>0</v>
      </c>
      <c r="Q60" s="142">
        <f>+'[1]Matriz seguimiento (1)'!Q60</f>
        <v>0</v>
      </c>
      <c r="R60" s="136">
        <f>+'[1]Matriz seguimiento (1)'!R60</f>
        <v>0</v>
      </c>
      <c r="S60" s="137">
        <f>+'[1]Matriz seguimiento (1)'!S60</f>
        <v>0</v>
      </c>
      <c r="T60" s="136">
        <f t="shared" si="7"/>
        <v>0</v>
      </c>
      <c r="U60" s="137">
        <f t="shared" si="2"/>
        <v>0</v>
      </c>
      <c r="V60" s="136" t="e">
        <f t="shared" si="3"/>
        <v>#VALUE!</v>
      </c>
      <c r="W60" s="136" t="e">
        <f t="shared" si="4"/>
        <v>#VALUE!</v>
      </c>
      <c r="X60" s="136" t="e">
        <f t="shared" si="5"/>
        <v>#VALUE!</v>
      </c>
      <c r="Y60" s="137" t="e">
        <f t="shared" si="6"/>
        <v>#VALUE!</v>
      </c>
      <c r="Z60" s="143" t="e">
        <f t="shared" si="1"/>
        <v>#VALUE!</v>
      </c>
      <c r="AA60" s="169" t="e">
        <f>IF(AND(U60="4 - Alto",Z60=-4),"MODERADO",VLOOKUP(Z60,[1]Parámetros!$B$20:$C$70,2,FALSE))</f>
        <v>#VALUE!</v>
      </c>
      <c r="AB60" s="506"/>
      <c r="AC60" s="507"/>
    </row>
    <row r="61" spans="1:29" x14ac:dyDescent="0.35">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row>
  </sheetData>
  <mergeCells count="62">
    <mergeCell ref="AB14:AC14"/>
    <mergeCell ref="A1:C5"/>
    <mergeCell ref="D1:AC5"/>
    <mergeCell ref="A7:C7"/>
    <mergeCell ref="D7:H7"/>
    <mergeCell ref="S7:T7"/>
    <mergeCell ref="A9:F9"/>
    <mergeCell ref="G9:N9"/>
    <mergeCell ref="O9:T9"/>
    <mergeCell ref="U9:AA9"/>
    <mergeCell ref="AB9:AC9"/>
    <mergeCell ref="V10:X10"/>
    <mergeCell ref="AB10:AC10"/>
    <mergeCell ref="AB11:AC11"/>
    <mergeCell ref="AB12:AC12"/>
    <mergeCell ref="AB13:AC13"/>
    <mergeCell ref="AB26:AC26"/>
    <mergeCell ref="AB15:AC15"/>
    <mergeCell ref="AB16:AC16"/>
    <mergeCell ref="AB17:AC17"/>
    <mergeCell ref="AB18:AC18"/>
    <mergeCell ref="AB19:AC19"/>
    <mergeCell ref="AB20:AC20"/>
    <mergeCell ref="AB21:AC21"/>
    <mergeCell ref="AB22:AC22"/>
    <mergeCell ref="AB23:AC23"/>
    <mergeCell ref="AB24:AC24"/>
    <mergeCell ref="AB25:AC25"/>
    <mergeCell ref="AB38:AC38"/>
    <mergeCell ref="AB27:AC27"/>
    <mergeCell ref="AB28:AC28"/>
    <mergeCell ref="AB29:AC29"/>
    <mergeCell ref="AB30:AC30"/>
    <mergeCell ref="AB31:AC31"/>
    <mergeCell ref="AB32:AC32"/>
    <mergeCell ref="AB33:AC33"/>
    <mergeCell ref="AB34:AC34"/>
    <mergeCell ref="AB35:AC35"/>
    <mergeCell ref="AB36:AC36"/>
    <mergeCell ref="AB37:AC37"/>
    <mergeCell ref="AB50:AC50"/>
    <mergeCell ref="AB39:AC39"/>
    <mergeCell ref="AB40:AC40"/>
    <mergeCell ref="AB41:AC41"/>
    <mergeCell ref="AB42:AC42"/>
    <mergeCell ref="AB43:AC43"/>
    <mergeCell ref="AB44:AC44"/>
    <mergeCell ref="AB45:AC45"/>
    <mergeCell ref="AB46:AC46"/>
    <mergeCell ref="AB47:AC47"/>
    <mergeCell ref="AB48:AC48"/>
    <mergeCell ref="AB49:AC49"/>
    <mergeCell ref="AB57:AC57"/>
    <mergeCell ref="AB58:AC58"/>
    <mergeCell ref="AB59:AC59"/>
    <mergeCell ref="AB60:AC60"/>
    <mergeCell ref="AB51:AC51"/>
    <mergeCell ref="AB52:AC52"/>
    <mergeCell ref="AB53:AC53"/>
    <mergeCell ref="AB54:AC54"/>
    <mergeCell ref="AB55:AC55"/>
    <mergeCell ref="AB56:AC56"/>
  </mergeCells>
  <conditionalFormatting sqref="N11:N1048576">
    <cfRule type="containsText" dxfId="47" priority="17" operator="containsText" text="EXTREMO (+)">
      <formula>NOT(ISERROR(SEARCH("EXTREMO (+)",N11)))</formula>
    </cfRule>
    <cfRule type="containsText" dxfId="46" priority="18" operator="containsText" text="ALTO (+)">
      <formula>NOT(ISERROR(SEARCH("ALTO (+)",N11)))</formula>
    </cfRule>
    <cfRule type="containsText" dxfId="45" priority="19" operator="containsText" text="MODERADO (+)">
      <formula>NOT(ISERROR(SEARCH("MODERADO (+)",N11)))</formula>
    </cfRule>
    <cfRule type="containsText" dxfId="44" priority="20" operator="containsText" text="BAJO (+)">
      <formula>NOT(ISERROR(SEARCH("BAJO (+)",N11)))</formula>
    </cfRule>
    <cfRule type="containsText" dxfId="43" priority="21" operator="containsText" text="EXTREMO">
      <formula>NOT(ISERROR(SEARCH("EXTREMO",N11)))</formula>
    </cfRule>
    <cfRule type="containsText" dxfId="42" priority="22" operator="containsText" text="ALTO">
      <formula>NOT(ISERROR(SEARCH("ALTO",N11)))</formula>
    </cfRule>
    <cfRule type="containsText" dxfId="41" priority="23" operator="containsText" text="MODERADO">
      <formula>NOT(ISERROR(SEARCH("MODERADO",N11)))</formula>
    </cfRule>
    <cfRule type="containsText" dxfId="40" priority="24" operator="containsText" text="BAJO">
      <formula>NOT(ISERROR(SEARCH("BAJO",N11)))</formula>
    </cfRule>
  </conditionalFormatting>
  <conditionalFormatting sqref="AA7">
    <cfRule type="containsText" dxfId="39" priority="1" operator="containsText" text="EXTREMO (+)">
      <formula>NOT(ISERROR(SEARCH("EXTREMO (+)",AA7)))</formula>
    </cfRule>
    <cfRule type="containsText" dxfId="38" priority="2" operator="containsText" text="ALTO (+)">
      <formula>NOT(ISERROR(SEARCH("ALTO (+)",AA7)))</formula>
    </cfRule>
    <cfRule type="containsText" dxfId="37" priority="3" operator="containsText" text="MODERADO (+)">
      <formula>NOT(ISERROR(SEARCH("MODERADO (+)",AA7)))</formula>
    </cfRule>
    <cfRule type="containsText" dxfId="36" priority="4" operator="containsText" text="BAJO (+)">
      <formula>NOT(ISERROR(SEARCH("BAJO (+)",AA7)))</formula>
    </cfRule>
    <cfRule type="containsText" dxfId="35" priority="5" operator="containsText" text="EXTREMO">
      <formula>NOT(ISERROR(SEARCH("EXTREMO",AA7)))</formula>
    </cfRule>
    <cfRule type="containsText" dxfId="34" priority="6" operator="containsText" text="ALTO">
      <formula>NOT(ISERROR(SEARCH("ALTO",AA7)))</formula>
    </cfRule>
    <cfRule type="containsText" dxfId="33" priority="7" operator="containsText" text="MODERADO">
      <formula>NOT(ISERROR(SEARCH("MODERADO",AA7)))</formula>
    </cfRule>
    <cfRule type="containsText" dxfId="32" priority="8" operator="containsText" text="BAJO">
      <formula>NOT(ISERROR(SEARCH("BAJO",AA7)))</formula>
    </cfRule>
  </conditionalFormatting>
  <conditionalFormatting sqref="AA11:AB1048576">
    <cfRule type="containsText" dxfId="31" priority="9" operator="containsText" text="EXTREMO (+)">
      <formula>NOT(ISERROR(SEARCH("EXTREMO (+)",AA11)))</formula>
    </cfRule>
    <cfRule type="containsText" dxfId="30" priority="10" operator="containsText" text="ALTO (+)">
      <formula>NOT(ISERROR(SEARCH("ALTO (+)",AA11)))</formula>
    </cfRule>
    <cfRule type="containsText" dxfId="29" priority="11" operator="containsText" text="MODERADO (+)">
      <formula>NOT(ISERROR(SEARCH("MODERADO (+)",AA11)))</formula>
    </cfRule>
    <cfRule type="containsText" dxfId="28" priority="12" operator="containsText" text="BAJO (+)">
      <formula>NOT(ISERROR(SEARCH("BAJO (+)",AA11)))</formula>
    </cfRule>
    <cfRule type="containsText" dxfId="27" priority="13" operator="containsText" text="EXTREMO">
      <formula>NOT(ISERROR(SEARCH("EXTREMO",AA11)))</formula>
    </cfRule>
    <cfRule type="containsText" dxfId="26" priority="14" operator="containsText" text="ALTO">
      <formula>NOT(ISERROR(SEARCH("ALTO",AA11)))</formula>
    </cfRule>
    <cfRule type="containsText" dxfId="25" priority="15" operator="containsText" text="MODERADO">
      <formula>NOT(ISERROR(SEARCH("MODERADO",AA11)))</formula>
    </cfRule>
    <cfRule type="containsText" dxfId="24" priority="16" operator="containsText" text="BAJO">
      <formula>NOT(ISERROR(SEARCH("BAJO",AA11)))</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0000000}">
          <x14:formula1>
            <xm:f>Parámetros!$C$3:$C$7</xm:f>
          </x14:formula1>
          <xm:sqref>G11:G60</xm:sqref>
        </x14:dataValidation>
        <x14:dataValidation type="list" allowBlank="1" showInputMessage="1" showErrorMessage="1" xr:uid="{00000000-0002-0000-0700-000001000000}">
          <x14:formula1>
            <xm:f>Parámetros!$D$3:$D$18</xm:f>
          </x14:formula1>
          <xm:sqref>H11:H60</xm:sqref>
        </x14:dataValidation>
        <x14:dataValidation type="list" allowBlank="1" showInputMessage="1" showErrorMessage="1" xr:uid="{00000000-0002-0000-0700-000002000000}">
          <x14:formula1>
            <xm:f>Parámetros!$E$3:$E$13</xm:f>
          </x14:formula1>
          <xm:sqref>I11:I60</xm:sqref>
        </x14:dataValidation>
        <x14:dataValidation type="list" allowBlank="1" showInputMessage="1" showErrorMessage="1" xr:uid="{00000000-0002-0000-0700-000003000000}">
          <x14:formula1>
            <xm:f>Parámetros!$F$3:$F$13</xm:f>
          </x14:formula1>
          <xm:sqref>J11:J60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0" tint="-0.14999847407452621"/>
  </sheetPr>
  <dimension ref="A1:AS61"/>
  <sheetViews>
    <sheetView showGridLines="0" topLeftCell="A8" zoomScale="85" zoomScaleNormal="85" workbookViewId="0">
      <selection activeCell="B11" sqref="B11"/>
    </sheetView>
  </sheetViews>
  <sheetFormatPr baseColWidth="10" defaultColWidth="0" defaultRowHeight="14.5" x14ac:dyDescent="0.35"/>
  <cols>
    <col min="1" max="1" width="7.08203125" style="144" customWidth="1"/>
    <col min="2" max="2" width="12.58203125" style="144" customWidth="1"/>
    <col min="3" max="3" width="24.25" style="170" customWidth="1"/>
    <col min="4" max="4" width="22.5" style="146" customWidth="1"/>
    <col min="5" max="5" width="23.25" style="147" customWidth="1"/>
    <col min="6" max="6" width="14.33203125" style="171" customWidth="1"/>
    <col min="7" max="7" width="14.5" style="1" customWidth="1"/>
    <col min="8" max="10" width="16" style="1" customWidth="1"/>
    <col min="11" max="13" width="13" style="1" hidden="1" customWidth="1"/>
    <col min="14" max="14" width="17.08203125" style="1" customWidth="1"/>
    <col min="15" max="15" width="15.5" style="172" customWidth="1"/>
    <col min="16" max="16" width="15.75" style="148" customWidth="1"/>
    <col min="17" max="17" width="35.25" style="149" customWidth="1"/>
    <col min="18" max="18" width="16.25" style="148" customWidth="1"/>
    <col min="19" max="19" width="16.25" style="173" customWidth="1"/>
    <col min="20" max="20" width="16.25" style="148" customWidth="1"/>
    <col min="21" max="21" width="18.5" style="148" customWidth="1"/>
    <col min="22" max="23" width="9.08203125" style="150" hidden="1" customWidth="1"/>
    <col min="24" max="24" width="9" style="150" hidden="1" customWidth="1"/>
    <col min="25" max="25" width="18.08203125" style="148" customWidth="1"/>
    <col min="26" max="26" width="10.83203125" style="151" hidden="1" customWidth="1"/>
    <col min="27" max="27" width="18.08203125" style="1" customWidth="1"/>
    <col min="28" max="28" width="27.25" style="174" customWidth="1"/>
    <col min="29" max="29" width="39.58203125" style="149" customWidth="1"/>
    <col min="30" max="30" width="10" style="1" customWidth="1"/>
    <col min="31" max="45" width="0" style="1" hidden="1" customWidth="1"/>
    <col min="46" max="16384" width="10" style="1" hidden="1"/>
  </cols>
  <sheetData>
    <row r="1" spans="1:29" x14ac:dyDescent="0.35">
      <c r="A1" s="378"/>
      <c r="B1" s="379"/>
      <c r="C1" s="380"/>
      <c r="D1" s="508" t="s">
        <v>682</v>
      </c>
      <c r="E1" s="509"/>
      <c r="F1" s="509"/>
      <c r="G1" s="509"/>
      <c r="H1" s="509"/>
      <c r="I1" s="509"/>
      <c r="J1" s="509"/>
      <c r="K1" s="509"/>
      <c r="L1" s="509"/>
      <c r="M1" s="509"/>
      <c r="N1" s="509"/>
      <c r="O1" s="509"/>
      <c r="P1" s="509"/>
      <c r="Q1" s="509"/>
      <c r="R1" s="509"/>
      <c r="S1" s="509"/>
      <c r="T1" s="509"/>
      <c r="U1" s="509"/>
      <c r="V1" s="509"/>
      <c r="W1" s="509"/>
      <c r="X1" s="509"/>
      <c r="Y1" s="509"/>
      <c r="Z1" s="509"/>
      <c r="AA1" s="509"/>
      <c r="AB1" s="509"/>
      <c r="AC1" s="510"/>
    </row>
    <row r="2" spans="1:29" x14ac:dyDescent="0.35">
      <c r="A2" s="381"/>
      <c r="B2" s="382"/>
      <c r="C2" s="383"/>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2"/>
    </row>
    <row r="3" spans="1:29" x14ac:dyDescent="0.35">
      <c r="A3" s="381"/>
      <c r="B3" s="382"/>
      <c r="C3" s="383"/>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2"/>
    </row>
    <row r="4" spans="1:29" x14ac:dyDescent="0.35">
      <c r="A4" s="381"/>
      <c r="B4" s="382"/>
      <c r="C4" s="383"/>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2"/>
    </row>
    <row r="5" spans="1:29" ht="15" thickBot="1" x14ac:dyDescent="0.4">
      <c r="A5" s="384"/>
      <c r="B5" s="385"/>
      <c r="C5" s="386"/>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4"/>
    </row>
    <row r="6" spans="1:29" ht="7.5" customHeight="1" x14ac:dyDescent="0.35">
      <c r="A6" s="85"/>
      <c r="B6" s="86"/>
      <c r="C6" s="152"/>
      <c r="D6" s="86"/>
      <c r="E6" s="87"/>
      <c r="F6" s="86"/>
      <c r="G6" s="86"/>
      <c r="H6" s="86"/>
      <c r="I6" s="86"/>
      <c r="J6" s="86"/>
      <c r="K6" s="86"/>
      <c r="L6" s="86"/>
      <c r="M6" s="86"/>
      <c r="N6" s="86"/>
      <c r="O6" s="86"/>
      <c r="P6" s="86"/>
      <c r="Q6" s="86"/>
      <c r="R6" s="153"/>
      <c r="S6" s="86"/>
      <c r="T6" s="86"/>
      <c r="U6" s="86"/>
      <c r="V6" s="88"/>
      <c r="W6" s="88"/>
      <c r="X6" s="88"/>
      <c r="Y6" s="86"/>
      <c r="Z6" s="86"/>
      <c r="AA6" s="86"/>
      <c r="AB6" s="86"/>
      <c r="AC6" s="89"/>
    </row>
    <row r="7" spans="1:29" ht="69" customHeight="1" x14ac:dyDescent="0.35">
      <c r="A7" s="515" t="s">
        <v>557</v>
      </c>
      <c r="B7" s="516"/>
      <c r="C7" s="516"/>
      <c r="D7" s="517" t="s">
        <v>678</v>
      </c>
      <c r="E7" s="518"/>
      <c r="F7" s="518"/>
      <c r="G7" s="518"/>
      <c r="H7" s="519"/>
      <c r="I7" s="90" t="s">
        <v>558</v>
      </c>
      <c r="J7" s="154">
        <f>+'[1]Matriz seguimiento (2)'!J7</f>
        <v>0</v>
      </c>
      <c r="K7" s="155"/>
      <c r="L7" s="155"/>
      <c r="M7" s="155"/>
      <c r="N7" s="156"/>
      <c r="O7" s="90" t="s">
        <v>559</v>
      </c>
      <c r="P7" s="157" t="e">
        <f>+[1]Contexto!B13</f>
        <v>#REF!</v>
      </c>
      <c r="Q7" s="90" t="s">
        <v>560</v>
      </c>
      <c r="R7" s="91"/>
      <c r="S7" s="516" t="s">
        <v>679</v>
      </c>
      <c r="T7" s="516"/>
      <c r="U7" s="91"/>
      <c r="V7" s="92"/>
      <c r="W7" s="92"/>
      <c r="X7" s="92"/>
      <c r="Y7" s="93" t="s">
        <v>562</v>
      </c>
      <c r="Z7" s="92"/>
      <c r="AA7" s="158" t="e">
        <f>VLOOKUP(R7&amp;U7,[1]Parámetros!$G$21:$H$46,2,FALSE)</f>
        <v>#N/A</v>
      </c>
      <c r="AB7" s="90" t="s">
        <v>680</v>
      </c>
      <c r="AC7" s="159"/>
    </row>
    <row r="8" spans="1:29" ht="8.25" customHeight="1" thickBot="1" x14ac:dyDescent="0.4">
      <c r="A8" s="94"/>
      <c r="B8" s="95"/>
      <c r="C8" s="160"/>
      <c r="D8" s="95"/>
      <c r="E8" s="96"/>
      <c r="F8" s="95"/>
      <c r="G8" s="95"/>
      <c r="H8" s="95"/>
      <c r="I8" s="95"/>
      <c r="J8" s="95"/>
      <c r="K8" s="95"/>
      <c r="L8" s="95"/>
      <c r="M8" s="95"/>
      <c r="N8" s="95"/>
      <c r="O8" s="95"/>
      <c r="P8" s="95"/>
      <c r="Q8" s="95"/>
      <c r="R8" s="161"/>
      <c r="S8" s="95"/>
      <c r="T8" s="95"/>
      <c r="U8" s="95"/>
      <c r="V8" s="97"/>
      <c r="W8" s="97"/>
      <c r="X8" s="97"/>
      <c r="Y8" s="95"/>
      <c r="Z8" s="95"/>
      <c r="AA8" s="95"/>
      <c r="AB8" s="95"/>
      <c r="AC8" s="98"/>
    </row>
    <row r="9" spans="1:29" ht="26.25" customHeight="1" thickBot="1" x14ac:dyDescent="0.4">
      <c r="A9" s="520" t="s">
        <v>62</v>
      </c>
      <c r="B9" s="521"/>
      <c r="C9" s="521"/>
      <c r="D9" s="521"/>
      <c r="E9" s="521"/>
      <c r="F9" s="521"/>
      <c r="G9" s="522" t="s">
        <v>83</v>
      </c>
      <c r="H9" s="523"/>
      <c r="I9" s="523"/>
      <c r="J9" s="523"/>
      <c r="K9" s="523"/>
      <c r="L9" s="523"/>
      <c r="M9" s="523"/>
      <c r="N9" s="524"/>
      <c r="O9" s="522" t="s">
        <v>176</v>
      </c>
      <c r="P9" s="523"/>
      <c r="Q9" s="523"/>
      <c r="R9" s="523"/>
      <c r="S9" s="523"/>
      <c r="T9" s="523"/>
      <c r="U9" s="525" t="s">
        <v>202</v>
      </c>
      <c r="V9" s="526"/>
      <c r="W9" s="526"/>
      <c r="X9" s="526"/>
      <c r="Y9" s="526"/>
      <c r="Z9" s="526"/>
      <c r="AA9" s="527"/>
      <c r="AB9" s="522" t="s">
        <v>209</v>
      </c>
      <c r="AC9" s="528"/>
    </row>
    <row r="10" spans="1:29" ht="72" customHeight="1" thickBot="1" x14ac:dyDescent="0.4">
      <c r="A10" s="99" t="s">
        <v>563</v>
      </c>
      <c r="B10" s="100" t="s">
        <v>564</v>
      </c>
      <c r="C10" s="100" t="s">
        <v>565</v>
      </c>
      <c r="D10" s="100" t="s">
        <v>566</v>
      </c>
      <c r="E10" s="100" t="s">
        <v>567</v>
      </c>
      <c r="F10" s="100" t="s">
        <v>568</v>
      </c>
      <c r="G10" s="101" t="s">
        <v>569</v>
      </c>
      <c r="H10" s="101" t="s">
        <v>570</v>
      </c>
      <c r="I10" s="101" t="s">
        <v>571</v>
      </c>
      <c r="J10" s="101" t="s">
        <v>572</v>
      </c>
      <c r="K10" s="101" t="s">
        <v>573</v>
      </c>
      <c r="L10" s="101" t="s">
        <v>574</v>
      </c>
      <c r="M10" s="101" t="s">
        <v>575</v>
      </c>
      <c r="N10" s="102" t="s">
        <v>576</v>
      </c>
      <c r="O10" s="103" t="s">
        <v>577</v>
      </c>
      <c r="P10" s="103" t="s">
        <v>578</v>
      </c>
      <c r="Q10" s="103" t="s">
        <v>579</v>
      </c>
      <c r="R10" s="103" t="s">
        <v>580</v>
      </c>
      <c r="S10" s="103" t="s">
        <v>581</v>
      </c>
      <c r="T10" s="103" t="s">
        <v>582</v>
      </c>
      <c r="U10" s="101" t="s">
        <v>583</v>
      </c>
      <c r="V10" s="529" t="s">
        <v>584</v>
      </c>
      <c r="W10" s="530"/>
      <c r="X10" s="531"/>
      <c r="Y10" s="101" t="s">
        <v>585</v>
      </c>
      <c r="Z10" s="101" t="s">
        <v>586</v>
      </c>
      <c r="AA10" s="102" t="s">
        <v>587</v>
      </c>
      <c r="AB10" s="532" t="s">
        <v>681</v>
      </c>
      <c r="AC10" s="533"/>
    </row>
    <row r="11" spans="1:29" ht="18" customHeight="1" x14ac:dyDescent="0.35">
      <c r="A11" s="104">
        <f>'[1]Matriz de riesgos'!A11</f>
        <v>1</v>
      </c>
      <c r="B11" s="108">
        <f>+'[1]Matriz seguimiento (2)'!B11</f>
        <v>0</v>
      </c>
      <c r="C11" s="106">
        <f>+'[1]Matriz seguimiento (2)'!C11</f>
        <v>0</v>
      </c>
      <c r="D11" s="107">
        <f>+'[1]Matriz seguimiento (2)'!D11</f>
        <v>0</v>
      </c>
      <c r="E11" s="106">
        <f>+'[1]Matriz seguimiento (2)'!E11</f>
        <v>0</v>
      </c>
      <c r="F11" s="108">
        <f>+'[1]Matriz seguimiento (2)'!F11</f>
        <v>0</v>
      </c>
      <c r="G11" s="109"/>
      <c r="H11" s="110"/>
      <c r="I11" s="108"/>
      <c r="J11" s="108"/>
      <c r="K11" s="111" t="e">
        <f>MIN(LEFT(H11,2),LEFT(I11,2),LEFT(J11,2))</f>
        <v>#VALUE!</v>
      </c>
      <c r="L11" s="111" t="e">
        <f>MAX(LEFT(H11,2),LEFT(I11,2),LEFT(J11,2))</f>
        <v>#VALUE!</v>
      </c>
      <c r="M11" s="112" t="e">
        <f t="shared" ref="M11:M60" si="0">LEFT(G11,2)*(IF(K11&gt;=0,L11,MIN(K11:L11)))</f>
        <v>#VALUE!</v>
      </c>
      <c r="N11" s="113" t="e">
        <f>IF(AND(G11="4 - Alto",M11=-4),"MODERADO",VLOOKUP(M11,[1]Parámetros!$B$20:$C$70,2,FALSE))</f>
        <v>#VALUE!</v>
      </c>
      <c r="O11" s="109">
        <f>+'[1]Matriz seguimiento (2)'!O11</f>
        <v>0</v>
      </c>
      <c r="P11" s="109">
        <f>+'[1]Matriz seguimiento (2)'!P11</f>
        <v>0</v>
      </c>
      <c r="Q11" s="162">
        <f>+'[1]Matriz seguimiento (2)'!Q11</f>
        <v>0</v>
      </c>
      <c r="R11" s="108">
        <f>+'[1]Matriz seguimiento (2)'!R11</f>
        <v>0</v>
      </c>
      <c r="S11" s="109">
        <f>+'[1]Matriz seguimiento (2)'!S11</f>
        <v>0</v>
      </c>
      <c r="T11" s="108">
        <f>O11</f>
        <v>0</v>
      </c>
      <c r="U11" s="105">
        <f>+IF(AND(R11="Probabilidad",S11=0),G11,IF(AND(R11="Probabilidad",S11=-1,G11="5 - Muy alto"),"4 - alto",IF(AND(R11="Probabilidad",S11=-2,G11="5 - Muy alto"),"3 - Medio",IF(AND(R11="Probabilidad",S11=-1,G11="4 - Alto"),"3 - Medio",IF(AND(R11="Probabilidad",S11=-2,G11="4 - Alto"),"2 - Bajo",IF(AND(R11="Probabilidad",S11=-1,G11="3 - Medio"),"2 - Bajo",IF(AND(R11="Probabilidad",S11=-2,G11="3 - Medio"),"1 - Muy bajo",IF(AND(R11="Probabilidad",S11=-1,G11="2 - Bajo"),"1 - Muy bajo",IF(AND(R11="Probabilidad",S11=-2,G11="2 - Bajo"),"1 - Muy bajo",IF(AND(R11="Probabilidad",S11=-1,G11="1 - Muy bajo"),"1 - Muy bajo",IF(AND(R11="Probabilidad",S11=-2,G11="1 - Muy bajo"),"1 - Muy bajo",IF(AND(R11="Probabilidad-impacto",S11=-2,G11="5 - Muy alto"),"3 - Medio",IF(AND(R11="Probabilidad-impacto",S11=-1,G11="5 - Muy alto"),"4 - Alto",IF(AND(R11="Probabilidad-impacto",S11=-2,G11="4 - Alto"),"2 - Bajo",IF(AND(R11="Probabilidad-impacto",S11=-1,G11="4 - Alto"),"3 - Medio",IF(AND(R11="Probabilidad-impacto",S11=-2,G11="3 - Medio"),"1 - Muy bajo",IF(AND(R11="Probabilidad-impacto",S11=-1,G11="3 - Medio"),"2 - Bajo",IF(AND(R11="Probabilidad-impacto",S11=-2,G11="2 - Bajo"),"1 - Muy bajo",IF(AND(R11="Probabilidad-impacto",S11=-1,G11="2 - Bajo"),"1 - Muy bajo",IF(AND(R11="Probabilidad-impacto",S11=-2,G11="1 - Muy bajo"),"1 - Muy bajo",IF(AND(R11="Probabilidad-impacto",S11=-1,G11="1 - Muy bajo"),"1 - Muy bajo",IF(AND(R11="Probabilidad",S11=1,G11="5 - Muy alto"),"5 - Muy alto",IF(AND(R11="Probabilidad",S11=2,G11="5 - Muy alto"),"5 - Muy alto",IF(AND(R11="Probabilidad",S11=1,G11="4 - Alto"),"5 - Muy alto",IF(AND(R11="Probabilidad",S11=2,G11="4 - Alto"),"5 - Muy alto",IF(AND(R11="Probabilidad",S11=1,G11="3 - Medio"),"4 - Alto",IF(AND(R11="Probabilidad",S11=2,G11="3 - Medio"),"5 - Muy alto",IF(AND(R11="Probabilidad",S11=1,G11="2 - Bajo"),"3 - Medio",IF(AND(R11="Probabilidad",S11=2,G11="2 - Bajo"),"4 - Alto",IF(AND(R11="Probabilidad",S11=1,G11="1 - Muy bajo"),"2 - Bajo",IF(AND(R11="Probabilidad",S11=2,G11="1 - Muy bajo"),"3 - Medio",IF(AND(R11="Probabilidad-impacto",S11=2,G11="5 - Muy alto"),"5 - Muy alto",IF(AND(R11="Probabilidad-impacto",S11=1,G11="5 - Muy alto"),"5 - Muy alto",IF(AND(R11="Probabilidad-impacto",S11=2,G11="4 - Alto"),"5 - Muy alto",IF(AND(R11="Probabilidad-impacto",S11=1,G11="4 - Alto"),"5 - Muy alto",IF(AND(R11="Probabilidad-impacto",S11=2,G11="3 - Medio"),"5 - Muy alto",IF(AND(R11="Probabilidad-impacto",S11=1,G11="3 - Medio"),"4 - Alto",IF(AND(R11="Probabilidad-impacto",S11=2,G11="2 - Bajo"),"4 - Alto",IF(AND(R11="Probabilidad-impacto",S11=1,G11="2 - Bajo"),"3 - Medio",IF(AND(R11="Probabilidad-impacto",S11=2,G11="1 - Muy bajo"),"3 - Medio",IF(AND(R11="Probabilidad-impacto",S11=1,G11="1 - Muy bajo"),"2 - Bajo",G11)))))))))))))))))))))))))))))))))))))))))</f>
        <v>0</v>
      </c>
      <c r="V11" s="110" t="e">
        <f>IF(AND(R11="Impacto",S11=0),K11,IF(AND(R11="Impacto",S11=-2,K11=-5),"-3",IF(AND(R11="Impacto",S11=-1,K11=-5),"-4",IF(AND(R11="Impacto",S11=-2,K11=-4),"-2",IF(AND(R11="Impacto",S11=-1,K11=-4),"-3",IF(AND(R11="Impacto",S11=-2,K11=-3),"-1",IF(AND(R11="Impacto",S11=-1,K11=-3),"-2",IF(AND(R11="Impacto",S11=-2,K11=-2),"-1",IF(AND(R11="Impacto",S11=-1,K11=-2),"-1",IF(AND(R11="Impacto",S11=-2,K11=-1),"-1",IF(AND(R11="Impacto",S11=-1,K11=-1),"-1",IF(AND(R11="Probabilidad-impacto",S11=-2,K11=-5),"-3",IF(AND(R11="Probabilidad-impacto",S11=-1,K11=-5),"-4",IF(AND(R11="Probabilidad-impacto",S11=-2,K11=-4),"-2",IF(AND(R11="Probabilidad-impacto",S11=-1,K11=-4),"-3",IF(AND(R11="Probabilidad-impacto",S11=-2,K11=-3),"-1",IF(AND(R11="Probabilidad-impacto",S11=-1,K11=-3),"-2",IF(AND(R11="Probabilidad-impacto",S11=-2,K11=-2),"-1",IF(AND(R11="Probabilidad-impacto",S11=-1,K11=-2),"-1",IF(AND(R11="Probabilidad-impacto",S11=-2,K11=-1),"-1",IF(AND(R11="Probabilidad-impacto",S11=-1,K11=-1),"-1",K11)))))))))))))))))))))</f>
        <v>#VALUE!</v>
      </c>
      <c r="W11" s="110" t="e">
        <f>IF(AND(R11="Impacto",S11=0),L11,IF(AND(R11="Impacto",S11=2,L11=5),"5",IF(AND(R11="Impacto",S11=1,L11=5),"5",IF(AND(R11="Impacto",S11=2,L11=4),"5",IF(AND(R11="Impacto",S11=1,L11=4),"5",IF(AND(R11="Impacto",S11=2,L11=3),"5",IF(AND(R11="Impacto",S11=1,L11=3),"4",IF(AND(R11="Impacto",S11=2,L11=2),"4",IF(AND(R11="Impacto",S11=1,L11=2),"3",IF(AND(R11="Impacto",S11=2,L11=1),"3",IF(AND(R11="Impacto",S11=1,L11=1),"2",IF(AND(R11="Probabilidad-impacto",S11=2,L11=5),"5",IF(AND(R11="Probabilidad-impacto",S11=1,L11=5),"5",IF(AND(R11="Probabilidad-impacto",S11=2,L11=4),"5",IF(AND(R11="Probabilidad-impacto",S11=1,L11=4),"5",IF(AND(R11="Probabilidad-impacto",S11=2,L11=3),"5",IF(AND(R11="Probabilidad-impacto",S11=1,L11=3),"4",IF(AND(R11="Probabilidad-impacto",S11=2,L11=2),"4",IF(AND(R11="Probabilidad-impacto",S11=1,L11=2),"3",IF(AND(R11="Probabilidad-impacto",S11=2,L11=1),"3",IF(AND(R11="Probabilidad-impacto",S11=1,L11=1),"2",L11)))))))))))))))))))))</f>
        <v>#VALUE!</v>
      </c>
      <c r="X11" s="110" t="e">
        <f>IF(W11&gt;0,W11*1,V11*1)</f>
        <v>#VALUE!</v>
      </c>
      <c r="Y11" s="105" t="e">
        <f>IF(X11=-1,"-1 Muy bajo",IF(X11=-2,"-2 Bajo",IF(X11=-3,"-3 Medio",IF(X11=-4,"-4 Muy alto",IF(X11=-5,"-5 Muy alto",IF(X11=1,"1 Muy bajo",IF(X11=2,"2 Bajo",IF(X11=3,"3 Medio",IF(X11=4,"4 Muy alto",IF(X11=5,"5 Muy alto",0))))))))))</f>
        <v>#VALUE!</v>
      </c>
      <c r="Z11" s="113" t="e">
        <f t="shared" ref="Z11:Z60" si="1">LEFT(U11,2)*(LEFT(Y11,2))</f>
        <v>#VALUE!</v>
      </c>
      <c r="AA11" s="163" t="e">
        <f>IF(AND(U11="4 - Alto",Z11=-4),"MODERADO",VLOOKUP(Z11,[1]Parámetros!$B$20:$C$70,2,FALSE))</f>
        <v>#VALUE!</v>
      </c>
      <c r="AB11" s="534"/>
      <c r="AC11" s="535"/>
    </row>
    <row r="12" spans="1:29" ht="15.5" x14ac:dyDescent="0.35">
      <c r="A12" s="114">
        <f>'[1]Matriz de riesgos'!A12</f>
        <v>2</v>
      </c>
      <c r="B12" s="120">
        <f>+'[1]Matriz seguimiento (2)'!B12</f>
        <v>0</v>
      </c>
      <c r="C12" s="164">
        <f>+'[1]Matriz seguimiento (2)'!C12</f>
        <v>0</v>
      </c>
      <c r="D12" s="115">
        <f>+'[1]Matriz seguimiento (2)'!D12</f>
        <v>0</v>
      </c>
      <c r="E12" s="116">
        <f>+'[1]Matriz seguimiento (2)'!E12</f>
        <v>0</v>
      </c>
      <c r="F12" s="117">
        <f>+'[1]Matriz seguimiento (2)'!F12</f>
        <v>0</v>
      </c>
      <c r="G12" s="118"/>
      <c r="H12" s="119"/>
      <c r="I12" s="120"/>
      <c r="J12" s="120"/>
      <c r="K12" s="121" t="e">
        <f>MIN(LEFT(H12,2),LEFT(I12,2),LEFT(J12,2))</f>
        <v>#VALUE!</v>
      </c>
      <c r="L12" s="121" t="e">
        <f>MAX(LEFT(H12,2),LEFT(I12,2),LEFT(J12,2))</f>
        <v>#VALUE!</v>
      </c>
      <c r="M12" s="122" t="e">
        <f t="shared" si="0"/>
        <v>#VALUE!</v>
      </c>
      <c r="N12" s="124" t="e">
        <f>IF(AND(G12="4 - Alto",M12=-4),"MODERADO",VLOOKUP(M12,[1]Parámetros!$B$20:$C$70,2,FALSE))</f>
        <v>#VALUE!</v>
      </c>
      <c r="O12" s="118">
        <f>+'[1]Matriz seguimiento (2)'!O12</f>
        <v>0</v>
      </c>
      <c r="P12" s="118">
        <f>+'[1]Matriz seguimiento (2)'!P12</f>
        <v>0</v>
      </c>
      <c r="Q12" s="123">
        <f>+'[1]Matriz seguimiento (2)'!Q12</f>
        <v>0</v>
      </c>
      <c r="R12" s="119">
        <f>+'[1]Matriz seguimiento (2)'!R12</f>
        <v>0</v>
      </c>
      <c r="S12" s="118">
        <f>+'[1]Matriz seguimiento (2)'!S12</f>
        <v>0</v>
      </c>
      <c r="T12" s="119">
        <f>O12</f>
        <v>0</v>
      </c>
      <c r="U12" s="118">
        <f t="shared" ref="U12:U60" si="2">+IF(AND(R12="Probabilidad",S12=0),G12,IF(AND(R12="Probabilidad",S12=-1,G12="5 - Muy alto"),"4 - alto",IF(AND(R12="Probabilidad",S12=-2,G12="5 - Muy alto"),"3 - Medio",IF(AND(R12="Probabilidad",S12=-1,G12="4 - Alto"),"3 - Medio",IF(AND(R12="Probabilidad",S12=-2,G12="4 - Alto"),"2 - Bajo",IF(AND(R12="Probabilidad",S12=-1,G12="3 - Medio"),"2 - Bajo",IF(AND(R12="Probabilidad",S12=-2,G12="3 - Medio"),"1 - Muy bajo",IF(AND(R12="Probabilidad",S12=-1,G12="2 - Bajo"),"1 - Muy bajo",IF(AND(R12="Probabilidad",S12=-2,G12="2 - Bajo"),"1 - Muy bajo",IF(AND(R12="Probabilidad",S12=-1,G12="1 - Muy bajo"),"1 - Muy bajo",IF(AND(R12="Probabilidad",S12=-2,G12="1 - Muy bajo"),"1 - Muy bajo",IF(AND(R12="Probabilidad-impacto",S12=-2,G12="5 - Muy alto"),"3 - Medio",IF(AND(R12="Probabilidad-impacto",S12=-1,G12="5 - Muy alto"),"4 - Alto",IF(AND(R12="Probabilidad-impacto",S12=-2,G12="4 - Alto"),"2 - Bajo",IF(AND(R12="Probabilidad-impacto",S12=-1,G12="4 - Alto"),"3 - Medio",IF(AND(R12="Probabilidad-impacto",S12=-2,G12="3 - Medio"),"1 - Muy bajo",IF(AND(R12="Probabilidad-impacto",S12=-1,G12="3 - Medio"),"2 - Bajo",IF(AND(R12="Probabilidad-impacto",S12=-2,G12="2 - Bajo"),"1 - Muy bajo",IF(AND(R12="Probabilidad-impacto",S12=-1,G12="2 - Bajo"),"1 - Muy bajo",IF(AND(R12="Probabilidad-impacto",S12=-2,G12="1 - Muy bajo"),"1 - Muy bajo",IF(AND(R12="Probabilidad-impacto",S12=-1,G12="1 - Muy bajo"),"1 - Muy bajo",IF(AND(R12="Probabilidad",S12=1,G12="5 - Muy alto"),"5 - Muy alto",IF(AND(R12="Probabilidad",S12=2,G12="5 - Muy alto"),"5 - Muy alto",IF(AND(R12="Probabilidad",S12=1,G12="4 - Alto"),"5 - Muy alto",IF(AND(R12="Probabilidad",S12=2,G12="4 - Alto"),"5 - Muy alto",IF(AND(R12="Probabilidad",S12=1,G12="3 - Medio"),"4 - Alto",IF(AND(R12="Probabilidad",S12=2,G12="3 - Medio"),"5 - Muy alto",IF(AND(R12="Probabilidad",S12=1,G12="2 - Bajo"),"3 - Medio",IF(AND(R12="Probabilidad",S12=2,G12="2 - Bajo"),"4 - Alto",IF(AND(R12="Probabilidad",S12=1,G12="1 - Muy bajo"),"2 - Bajo",IF(AND(R12="Probabilidad",S12=2,G12="1 - Muy bajo"),"3 - Medio",IF(AND(R12="Probabilidad-impacto",S12=2,G12="5 - Muy alto"),"5 - Muy alto",IF(AND(R12="Probabilidad-impacto",S12=1,G12="5 - Muy alto"),"5 - Muy alto",IF(AND(R12="Probabilidad-impacto",S12=2,G12="4 - Alto"),"5 - Muy alto",IF(AND(R12="Probabilidad-impacto",S12=1,G12="4 - Alto"),"5 - Muy alto",IF(AND(R12="Probabilidad-impacto",S12=2,G12="3 - Medio"),"5 - Muy alto",IF(AND(R12="Probabilidad-impacto",S12=1,G12="3 - Medio"),"4 - Alto",IF(AND(R12="Probabilidad-impacto",S12=2,G12="2 - Bajo"),"4 - Alto",IF(AND(R12="Probabilidad-impacto",S12=1,G12="2 - Bajo"),"3 - Medio",IF(AND(R12="Probabilidad-impacto",S12=2,G12="1 - Muy bajo"),"3 - Medio",IF(AND(R12="Probabilidad-impacto",S12=1,G12="1 - Muy bajo"),"2 - Bajo",G12)))))))))))))))))))))))))))))))))))))))))</f>
        <v>0</v>
      </c>
      <c r="V12" s="119" t="e">
        <f t="shared" ref="V12:V60" si="3">IF(AND(R12="Impacto",S12=0),K12,IF(AND(R12="Impacto",S12=-2,K12=-5),"-3",IF(AND(R12="Impacto",S12=-1,K12=-5),"-4",IF(AND(R12="Impacto",S12=-2,K12=-4),"-2",IF(AND(R12="Impacto",S12=-1,K12=-4),"-3",IF(AND(R12="Impacto",S12=-2,K12=-3),"-1",IF(AND(R12="Impacto",S12=-1,K12=-3),"-2",IF(AND(R12="Impacto",S12=-2,K12=-2),"-1",IF(AND(R12="Impacto",S12=-1,K12=-2),"-1",IF(AND(R12="Impacto",S12=-2,K12=-1),"-1",IF(AND(R12="Impacto",S12=-1,K12=-1),"-1",IF(AND(R12="Probabilidad-impacto",S12=-2,K12=-5),"-3",IF(AND(R12="Probabilidad-impacto",S12=-1,K12=-5),"-4",IF(AND(R12="Probabilidad-impacto",S12=-2,K12=-4),"-2",IF(AND(R12="Probabilidad-impacto",S12=-1,K12=-4),"-3",IF(AND(R12="Probabilidad-impacto",S12=-2,K12=-3),"-1",IF(AND(R12="Probabilidad-impacto",S12=-1,K12=-3),"-2",IF(AND(R12="Probabilidad-impacto",S12=-2,K12=-2),"-1",IF(AND(R12="Probabilidad-impacto",S12=-1,K12=-2),"-1",IF(AND(R12="Probabilidad-impacto",S12=-2,K12=-1),"-1",IF(AND(R12="Probabilidad-impacto",S12=-1,K12=-1),"-1",K12)))))))))))))))))))))</f>
        <v>#VALUE!</v>
      </c>
      <c r="W12" s="119" t="e">
        <f t="shared" ref="W12:W60" si="4">IF(AND(R12="Impacto",S12=0),L12,IF(AND(R12="Impacto",S12=2,L12=5),"5",IF(AND(R12="Impacto",S12=1,L12=5),"5",IF(AND(R12="Impacto",S12=2,L12=4),"5",IF(AND(R12="Impacto",S12=1,L12=4),"5",IF(AND(R12="Impacto",S12=2,L12=3),"5",IF(AND(R12="Impacto",S12=1,L12=3),"4",IF(AND(R12="Impacto",S12=2,L12=2),"4",IF(AND(R12="Impacto",S12=1,L12=2),"3",IF(AND(R12="Impacto",S12=2,L12=1),"3",IF(AND(R12="Impacto",S12=1,L12=1),"2",IF(AND(R12="Probabilidad-impacto",S12=2,L12=5),"5",IF(AND(R12="Probabilidad-impacto",S12=1,L12=5),"5",IF(AND(R12="Probabilidad-impacto",S12=2,L12=4),"5",IF(AND(R12="Probabilidad-impacto",S12=1,L12=4),"5",IF(AND(R12="Probabilidad-impacto",S12=2,L12=3),"5",IF(AND(R12="Probabilidad-impacto",S12=1,L12=3),"4",IF(AND(R12="Probabilidad-impacto",S12=2,L12=2),"4",IF(AND(R12="Probabilidad-impacto",S12=1,L12=2),"3",IF(AND(R12="Probabilidad-impacto",S12=2,L12=1),"3",IF(AND(R12="Probabilidad-impacto",S12=1,L12=1),"2",L12)))))))))))))))))))))</f>
        <v>#VALUE!</v>
      </c>
      <c r="X12" s="119" t="e">
        <f t="shared" ref="X12:X60" si="5">IF(W12&gt;0,W12*1,V12*1)</f>
        <v>#VALUE!</v>
      </c>
      <c r="Y12" s="118" t="e">
        <f t="shared" ref="Y12:Y60" si="6">IF(X12=-1,"-1 Muy bajo",IF(X12=-2,"-2 Bajo",IF(X12=-3,"-3 Medio",IF(X12=-4,"-4 Muy alto",IF(X12=-5,"-5 Muy alto",IF(X12=1,"1 Muy bajo",IF(X12=2,"2 Bajo",IF(X12=3,"3 Medio",IF(X12=4,"4 Muy alto",IF(X12=5,"5 Muy alto",0))))))))))</f>
        <v>#VALUE!</v>
      </c>
      <c r="Z12" s="124" t="e">
        <f t="shared" si="1"/>
        <v>#VALUE!</v>
      </c>
      <c r="AA12" s="165" t="e">
        <f>IF(AND(U12="4 - Alto",Z12=-4),"MODERADO",VLOOKUP(Z12,[1]Parámetros!$B$20:$C$70,2,FALSE))</f>
        <v>#VALUE!</v>
      </c>
      <c r="AB12" s="504"/>
      <c r="AC12" s="505"/>
    </row>
    <row r="13" spans="1:29" ht="15.5" x14ac:dyDescent="0.35">
      <c r="A13" s="125">
        <f>'[1]Matriz de riesgos'!A13</f>
        <v>3</v>
      </c>
      <c r="B13" s="129">
        <f>+'[1]Matriz seguimiento (2)'!B13</f>
        <v>0</v>
      </c>
      <c r="C13" s="126">
        <f>+'[1]Matriz seguimiento (2)'!C13</f>
        <v>0</v>
      </c>
      <c r="D13" s="126">
        <f>+'[1]Matriz seguimiento (2)'!D13</f>
        <v>0</v>
      </c>
      <c r="E13" s="126">
        <f>+'[1]Matriz seguimiento (2)'!E13</f>
        <v>0</v>
      </c>
      <c r="F13" s="129">
        <f>+'[1]Matriz seguimiento (2)'!F13</f>
        <v>0</v>
      </c>
      <c r="G13" s="128"/>
      <c r="H13" s="127"/>
      <c r="I13" s="129"/>
      <c r="J13" s="129"/>
      <c r="K13" s="130" t="e">
        <f>MIN(LEFT(H13,2),LEFT(I13,2),LEFT(J13,2))</f>
        <v>#VALUE!</v>
      </c>
      <c r="L13" s="130" t="e">
        <f>MAX(LEFT(H13,2),LEFT(I13,2),LEFT(J13,2))</f>
        <v>#VALUE!</v>
      </c>
      <c r="M13" s="131" t="e">
        <f t="shared" si="0"/>
        <v>#VALUE!</v>
      </c>
      <c r="N13" s="132" t="e">
        <f>IF(AND(G13="4 - Alto",M13=-4),"MODERADO",VLOOKUP(M13,[1]Parámetros!$B$20:$C$70,2,FALSE))</f>
        <v>#VALUE!</v>
      </c>
      <c r="O13" s="128">
        <f>+'[1]Matriz seguimiento (2)'!O13</f>
        <v>0</v>
      </c>
      <c r="P13" s="128">
        <f>+'[1]Matriz seguimiento (2)'!P13</f>
        <v>0</v>
      </c>
      <c r="Q13" s="133">
        <f>+'[1]Matriz seguimiento (2)'!Q13</f>
        <v>0</v>
      </c>
      <c r="R13" s="127">
        <f>+'[1]Matriz seguimiento (2)'!R13</f>
        <v>0</v>
      </c>
      <c r="S13" s="128">
        <f>+'[1]Matriz seguimiento (2)'!S13</f>
        <v>0</v>
      </c>
      <c r="T13" s="129">
        <f>O13</f>
        <v>0</v>
      </c>
      <c r="U13" s="128">
        <f t="shared" si="2"/>
        <v>0</v>
      </c>
      <c r="V13" s="127" t="e">
        <f t="shared" si="3"/>
        <v>#VALUE!</v>
      </c>
      <c r="W13" s="127" t="e">
        <f t="shared" si="4"/>
        <v>#VALUE!</v>
      </c>
      <c r="X13" s="127" t="e">
        <f t="shared" si="5"/>
        <v>#VALUE!</v>
      </c>
      <c r="Y13" s="128" t="e">
        <f t="shared" si="6"/>
        <v>#VALUE!</v>
      </c>
      <c r="Z13" s="132" t="e">
        <f t="shared" si="1"/>
        <v>#VALUE!</v>
      </c>
      <c r="AA13" s="166" t="e">
        <f>IF(AND(U13="4 - Alto",Z13=-4),"MODERADO",VLOOKUP(Z13,[1]Parámetros!$B$20:$C$70,2,FALSE))</f>
        <v>#VALUE!</v>
      </c>
      <c r="AB13" s="502"/>
      <c r="AC13" s="503"/>
    </row>
    <row r="14" spans="1:29" ht="15.5" x14ac:dyDescent="0.35">
      <c r="A14" s="114">
        <f>'[1]Matriz de riesgos'!A14</f>
        <v>4</v>
      </c>
      <c r="B14" s="120">
        <f>+'[1]Matriz seguimiento (2)'!B14</f>
        <v>0</v>
      </c>
      <c r="C14" s="164">
        <f>+'[1]Matriz seguimiento (2)'!C14</f>
        <v>0</v>
      </c>
      <c r="D14" s="115">
        <f>+'[1]Matriz seguimiento (2)'!D14</f>
        <v>0</v>
      </c>
      <c r="E14" s="116">
        <f>+'[1]Matriz seguimiento (2)'!E14</f>
        <v>0</v>
      </c>
      <c r="F14" s="117">
        <f>+'[1]Matriz seguimiento (2)'!F14</f>
        <v>0</v>
      </c>
      <c r="G14" s="119"/>
      <c r="H14" s="119"/>
      <c r="I14" s="120"/>
      <c r="J14" s="120"/>
      <c r="K14" s="121" t="e">
        <f t="shared" ref="K14:K60" si="7">MIN(LEFT(H14,2),LEFT(I14,2),LEFT(J14,2))</f>
        <v>#VALUE!</v>
      </c>
      <c r="L14" s="121" t="e">
        <f t="shared" ref="L14:L60" si="8">MAX(LEFT(H14,2),LEFT(I14,2),LEFT(J14,2))</f>
        <v>#VALUE!</v>
      </c>
      <c r="M14" s="122" t="e">
        <f t="shared" si="0"/>
        <v>#VALUE!</v>
      </c>
      <c r="N14" s="124" t="e">
        <f>IF(AND(G14="4 - Alto",M14=-4),"MODERADO",VLOOKUP(M14,[1]Parámetros!$B$20:$C$70,2,FALSE))</f>
        <v>#VALUE!</v>
      </c>
      <c r="O14" s="118">
        <f>+'[1]Matriz seguimiento (2)'!O14</f>
        <v>0</v>
      </c>
      <c r="P14" s="118">
        <f>+'[1]Matriz seguimiento (2)'!P14</f>
        <v>0</v>
      </c>
      <c r="Q14" s="123">
        <f>+'[1]Matriz seguimiento (2)'!Q14</f>
        <v>0</v>
      </c>
      <c r="R14" s="119">
        <f>+'[1]Matriz seguimiento (2)'!R14</f>
        <v>0</v>
      </c>
      <c r="S14" s="118">
        <f>+'[1]Matriz seguimiento (2)'!S14</f>
        <v>0</v>
      </c>
      <c r="T14" s="119">
        <f>O14</f>
        <v>0</v>
      </c>
      <c r="U14" s="118">
        <f t="shared" si="2"/>
        <v>0</v>
      </c>
      <c r="V14" s="119" t="e">
        <f t="shared" si="3"/>
        <v>#VALUE!</v>
      </c>
      <c r="W14" s="119" t="e">
        <f t="shared" si="4"/>
        <v>#VALUE!</v>
      </c>
      <c r="X14" s="119" t="e">
        <f t="shared" si="5"/>
        <v>#VALUE!</v>
      </c>
      <c r="Y14" s="118" t="e">
        <f t="shared" si="6"/>
        <v>#VALUE!</v>
      </c>
      <c r="Z14" s="124" t="e">
        <f t="shared" si="1"/>
        <v>#VALUE!</v>
      </c>
      <c r="AA14" s="165" t="e">
        <f>IF(AND(U14="4 - Alto",Z14=-4),"MODERADO",VLOOKUP(Z14,[1]Parámetros!$B$20:$C$70,2,FALSE))</f>
        <v>#VALUE!</v>
      </c>
      <c r="AB14" s="504"/>
      <c r="AC14" s="505"/>
    </row>
    <row r="15" spans="1:29" ht="15.5" x14ac:dyDescent="0.35">
      <c r="A15" s="125">
        <f>'[1]Matriz de riesgos'!A15</f>
        <v>5</v>
      </c>
      <c r="B15" s="129">
        <f>+'[1]Matriz seguimiento (2)'!B15</f>
        <v>0</v>
      </c>
      <c r="C15" s="126">
        <f>+'[1]Matriz seguimiento (2)'!C15</f>
        <v>0</v>
      </c>
      <c r="D15" s="126">
        <f>+'[1]Matriz seguimiento (2)'!D15</f>
        <v>0</v>
      </c>
      <c r="E15" s="126">
        <f>+'[1]Matriz seguimiento (2)'!E15</f>
        <v>0</v>
      </c>
      <c r="F15" s="129">
        <f>+'[1]Matriz seguimiento (2)'!F15</f>
        <v>0</v>
      </c>
      <c r="G15" s="128"/>
      <c r="H15" s="127"/>
      <c r="I15" s="129"/>
      <c r="J15" s="129"/>
      <c r="K15" s="130" t="e">
        <f t="shared" si="7"/>
        <v>#VALUE!</v>
      </c>
      <c r="L15" s="130" t="e">
        <f t="shared" si="8"/>
        <v>#VALUE!</v>
      </c>
      <c r="M15" s="131" t="e">
        <f t="shared" si="0"/>
        <v>#VALUE!</v>
      </c>
      <c r="N15" s="132" t="e">
        <f>IF(AND(G15="4 - Alto",M15=-4),"MODERADO",VLOOKUP(M15,[1]Parámetros!$B$20:$C$70,2,FALSE))</f>
        <v>#VALUE!</v>
      </c>
      <c r="O15" s="128">
        <f>+'[1]Matriz seguimiento (2)'!O15</f>
        <v>0</v>
      </c>
      <c r="P15" s="128">
        <f>+'[1]Matriz seguimiento (2)'!P15</f>
        <v>0</v>
      </c>
      <c r="Q15" s="133">
        <f>+'[1]Matriz seguimiento (2)'!Q15</f>
        <v>0</v>
      </c>
      <c r="R15" s="127">
        <f>+'[1]Matriz seguimiento (2)'!R15</f>
        <v>0</v>
      </c>
      <c r="S15" s="128">
        <f>+'[1]Matriz seguimiento (2)'!S15</f>
        <v>0</v>
      </c>
      <c r="T15" s="129">
        <f t="shared" ref="T15:T60" si="9">O15</f>
        <v>0</v>
      </c>
      <c r="U15" s="128">
        <f t="shared" si="2"/>
        <v>0</v>
      </c>
      <c r="V15" s="127" t="e">
        <f t="shared" si="3"/>
        <v>#VALUE!</v>
      </c>
      <c r="W15" s="127" t="e">
        <f t="shared" si="4"/>
        <v>#VALUE!</v>
      </c>
      <c r="X15" s="127" t="e">
        <f t="shared" si="5"/>
        <v>#VALUE!</v>
      </c>
      <c r="Y15" s="128" t="e">
        <f t="shared" si="6"/>
        <v>#VALUE!</v>
      </c>
      <c r="Z15" s="132" t="e">
        <f t="shared" si="1"/>
        <v>#VALUE!</v>
      </c>
      <c r="AA15" s="166" t="e">
        <f>IF(AND(U15="4 - Alto",Z15=-4),"MODERADO",VLOOKUP(Z15,[1]Parámetros!$B$20:$C$70,2,FALSE))</f>
        <v>#VALUE!</v>
      </c>
      <c r="AB15" s="502"/>
      <c r="AC15" s="503"/>
    </row>
    <row r="16" spans="1:29" ht="15.5" x14ac:dyDescent="0.35">
      <c r="A16" s="114">
        <f>'[1]Matriz de riesgos'!A16</f>
        <v>6</v>
      </c>
      <c r="B16" s="120">
        <f>+'[1]Matriz seguimiento (2)'!B16</f>
        <v>0</v>
      </c>
      <c r="C16" s="164">
        <f>+'[1]Matriz seguimiento (2)'!C16</f>
        <v>0</v>
      </c>
      <c r="D16" s="115">
        <f>+'[1]Matriz seguimiento (2)'!D16</f>
        <v>0</v>
      </c>
      <c r="E16" s="116">
        <f>+'[1]Matriz seguimiento (2)'!E16</f>
        <v>0</v>
      </c>
      <c r="F16" s="117">
        <f>+'[1]Matriz seguimiento (2)'!F16</f>
        <v>0</v>
      </c>
      <c r="G16" s="118"/>
      <c r="H16" s="119"/>
      <c r="I16" s="120"/>
      <c r="J16" s="120"/>
      <c r="K16" s="121" t="e">
        <f t="shared" si="7"/>
        <v>#VALUE!</v>
      </c>
      <c r="L16" s="121" t="e">
        <f t="shared" si="8"/>
        <v>#VALUE!</v>
      </c>
      <c r="M16" s="122" t="e">
        <f t="shared" si="0"/>
        <v>#VALUE!</v>
      </c>
      <c r="N16" s="124" t="e">
        <f>IF(AND(G16="4 - Alto",M16=-4),"MODERADO",VLOOKUP(M16,[1]Parámetros!$B$20:$C$70,2,FALSE))</f>
        <v>#VALUE!</v>
      </c>
      <c r="O16" s="118">
        <f>+'[1]Matriz seguimiento (2)'!O16</f>
        <v>0</v>
      </c>
      <c r="P16" s="118">
        <f>+'[1]Matriz seguimiento (2)'!P16</f>
        <v>0</v>
      </c>
      <c r="Q16" s="123">
        <f>+'[1]Matriz seguimiento (2)'!Q16</f>
        <v>0</v>
      </c>
      <c r="R16" s="119">
        <f>+'[1]Matriz seguimiento (2)'!R16</f>
        <v>0</v>
      </c>
      <c r="S16" s="118">
        <f>+'[1]Matriz seguimiento (2)'!S16</f>
        <v>0</v>
      </c>
      <c r="T16" s="119">
        <f t="shared" si="9"/>
        <v>0</v>
      </c>
      <c r="U16" s="118">
        <f t="shared" si="2"/>
        <v>0</v>
      </c>
      <c r="V16" s="119" t="e">
        <f t="shared" si="3"/>
        <v>#VALUE!</v>
      </c>
      <c r="W16" s="119" t="e">
        <f t="shared" si="4"/>
        <v>#VALUE!</v>
      </c>
      <c r="X16" s="119" t="e">
        <f t="shared" si="5"/>
        <v>#VALUE!</v>
      </c>
      <c r="Y16" s="118" t="e">
        <f t="shared" si="6"/>
        <v>#VALUE!</v>
      </c>
      <c r="Z16" s="124" t="e">
        <f t="shared" si="1"/>
        <v>#VALUE!</v>
      </c>
      <c r="AA16" s="165" t="e">
        <f>IF(AND(U16="4 - Alto",Z16=-4),"MODERADO",VLOOKUP(Z16,[1]Parámetros!$B$20:$C$70,2,FALSE))</f>
        <v>#VALUE!</v>
      </c>
      <c r="AB16" s="504"/>
      <c r="AC16" s="505"/>
    </row>
    <row r="17" spans="1:29" ht="15.5" x14ac:dyDescent="0.35">
      <c r="A17" s="125">
        <f>'[1]Matriz de riesgos'!A17</f>
        <v>7</v>
      </c>
      <c r="B17" s="129">
        <f>+'[1]Matriz seguimiento (2)'!B17</f>
        <v>0</v>
      </c>
      <c r="C17" s="126">
        <f>+'[1]Matriz seguimiento (2)'!C17</f>
        <v>0</v>
      </c>
      <c r="D17" s="126">
        <f>+'[1]Matriz seguimiento (2)'!D17</f>
        <v>0</v>
      </c>
      <c r="E17" s="126">
        <f>+'[1]Matriz seguimiento (2)'!E17</f>
        <v>0</v>
      </c>
      <c r="F17" s="129">
        <f>+'[1]Matriz seguimiento (2)'!F17</f>
        <v>0</v>
      </c>
      <c r="G17" s="128"/>
      <c r="H17" s="127"/>
      <c r="I17" s="129"/>
      <c r="J17" s="129"/>
      <c r="K17" s="130" t="e">
        <f t="shared" si="7"/>
        <v>#VALUE!</v>
      </c>
      <c r="L17" s="130" t="e">
        <f t="shared" si="8"/>
        <v>#VALUE!</v>
      </c>
      <c r="M17" s="131" t="e">
        <f t="shared" si="0"/>
        <v>#VALUE!</v>
      </c>
      <c r="N17" s="132" t="e">
        <f>IF(AND(G17="4 - Alto",M17=-4),"MODERADO",VLOOKUP(M17,[1]Parámetros!$B$20:$C$70,2,FALSE))</f>
        <v>#VALUE!</v>
      </c>
      <c r="O17" s="128">
        <f>+'[1]Matriz seguimiento (2)'!O17</f>
        <v>0</v>
      </c>
      <c r="P17" s="128">
        <f>+'[1]Matriz seguimiento (2)'!P17</f>
        <v>0</v>
      </c>
      <c r="Q17" s="133">
        <f>+'[1]Matriz seguimiento (2)'!Q17</f>
        <v>0</v>
      </c>
      <c r="R17" s="127">
        <f>+'[1]Matriz seguimiento (2)'!R17</f>
        <v>0</v>
      </c>
      <c r="S17" s="128">
        <f>+'[1]Matriz seguimiento (2)'!S17</f>
        <v>0</v>
      </c>
      <c r="T17" s="129">
        <f t="shared" si="9"/>
        <v>0</v>
      </c>
      <c r="U17" s="128">
        <f t="shared" si="2"/>
        <v>0</v>
      </c>
      <c r="V17" s="127" t="e">
        <f t="shared" si="3"/>
        <v>#VALUE!</v>
      </c>
      <c r="W17" s="127" t="e">
        <f t="shared" si="4"/>
        <v>#VALUE!</v>
      </c>
      <c r="X17" s="127" t="e">
        <f t="shared" si="5"/>
        <v>#VALUE!</v>
      </c>
      <c r="Y17" s="128" t="e">
        <f t="shared" si="6"/>
        <v>#VALUE!</v>
      </c>
      <c r="Z17" s="132" t="e">
        <f t="shared" si="1"/>
        <v>#VALUE!</v>
      </c>
      <c r="AA17" s="166" t="e">
        <f>IF(AND(U17="4 - Alto",Z17=-4),"MODERADO",VLOOKUP(Z17,[1]Parámetros!$B$20:$C$70,2,FALSE))</f>
        <v>#VALUE!</v>
      </c>
      <c r="AB17" s="502"/>
      <c r="AC17" s="503"/>
    </row>
    <row r="18" spans="1:29" ht="15.5" x14ac:dyDescent="0.35">
      <c r="A18" s="114">
        <f>'[1]Matriz de riesgos'!A18</f>
        <v>8</v>
      </c>
      <c r="B18" s="120">
        <f>+'[1]Matriz seguimiento (2)'!B18</f>
        <v>0</v>
      </c>
      <c r="C18" s="164">
        <f>+'[1]Matriz seguimiento (2)'!C18</f>
        <v>0</v>
      </c>
      <c r="D18" s="115">
        <f>+'[1]Matriz seguimiento (2)'!D18</f>
        <v>0</v>
      </c>
      <c r="E18" s="116">
        <f>+'[1]Matriz seguimiento (2)'!E18</f>
        <v>0</v>
      </c>
      <c r="F18" s="117">
        <f>+'[1]Matriz seguimiento (2)'!F18</f>
        <v>0</v>
      </c>
      <c r="G18" s="118"/>
      <c r="H18" s="119"/>
      <c r="I18" s="120"/>
      <c r="J18" s="120"/>
      <c r="K18" s="121" t="e">
        <f t="shared" si="7"/>
        <v>#VALUE!</v>
      </c>
      <c r="L18" s="121" t="e">
        <f t="shared" si="8"/>
        <v>#VALUE!</v>
      </c>
      <c r="M18" s="122" t="e">
        <f t="shared" si="0"/>
        <v>#VALUE!</v>
      </c>
      <c r="N18" s="124" t="e">
        <f>IF(AND(G18="4 - Alto",M18=-4),"MODERADO",VLOOKUP(M18,[1]Parámetros!$B$20:$C$70,2,FALSE))</f>
        <v>#VALUE!</v>
      </c>
      <c r="O18" s="118">
        <f>+'[1]Matriz seguimiento (2)'!O18</f>
        <v>0</v>
      </c>
      <c r="P18" s="118">
        <f>+'[1]Matriz seguimiento (2)'!P18</f>
        <v>0</v>
      </c>
      <c r="Q18" s="123">
        <f>+'[1]Matriz seguimiento (2)'!Q18</f>
        <v>0</v>
      </c>
      <c r="R18" s="119">
        <f>+'[1]Matriz seguimiento (2)'!R18</f>
        <v>0</v>
      </c>
      <c r="S18" s="118">
        <f>+'[1]Matriz seguimiento (2)'!S18</f>
        <v>0</v>
      </c>
      <c r="T18" s="119">
        <f t="shared" si="9"/>
        <v>0</v>
      </c>
      <c r="U18" s="118">
        <f t="shared" si="2"/>
        <v>0</v>
      </c>
      <c r="V18" s="119" t="e">
        <f t="shared" si="3"/>
        <v>#VALUE!</v>
      </c>
      <c r="W18" s="119" t="e">
        <f t="shared" si="4"/>
        <v>#VALUE!</v>
      </c>
      <c r="X18" s="119" t="e">
        <f t="shared" si="5"/>
        <v>#VALUE!</v>
      </c>
      <c r="Y18" s="118" t="e">
        <f t="shared" si="6"/>
        <v>#VALUE!</v>
      </c>
      <c r="Z18" s="124" t="e">
        <f t="shared" si="1"/>
        <v>#VALUE!</v>
      </c>
      <c r="AA18" s="165" t="e">
        <f>IF(AND(U18="4 - Alto",Z18=-4),"MODERADO",VLOOKUP(Z18,[1]Parámetros!$B$20:$C$70,2,FALSE))</f>
        <v>#VALUE!</v>
      </c>
      <c r="AB18" s="504"/>
      <c r="AC18" s="505"/>
    </row>
    <row r="19" spans="1:29" ht="15.5" x14ac:dyDescent="0.35">
      <c r="A19" s="125">
        <f>'[1]Matriz de riesgos'!A19</f>
        <v>9</v>
      </c>
      <c r="B19" s="129">
        <f>+'[1]Matriz seguimiento (2)'!B19</f>
        <v>0</v>
      </c>
      <c r="C19" s="126">
        <f>+'[1]Matriz seguimiento (2)'!C19</f>
        <v>0</v>
      </c>
      <c r="D19" s="126">
        <f>+'[1]Matriz seguimiento (2)'!D19</f>
        <v>0</v>
      </c>
      <c r="E19" s="126">
        <f>+'[1]Matriz seguimiento (2)'!E19</f>
        <v>0</v>
      </c>
      <c r="F19" s="129">
        <f>+'[1]Matriz seguimiento (2)'!F19</f>
        <v>0</v>
      </c>
      <c r="G19" s="128"/>
      <c r="H19" s="127"/>
      <c r="I19" s="129"/>
      <c r="J19" s="129"/>
      <c r="K19" s="130" t="e">
        <f t="shared" si="7"/>
        <v>#VALUE!</v>
      </c>
      <c r="L19" s="130" t="e">
        <f t="shared" si="8"/>
        <v>#VALUE!</v>
      </c>
      <c r="M19" s="131" t="e">
        <f t="shared" si="0"/>
        <v>#VALUE!</v>
      </c>
      <c r="N19" s="132" t="e">
        <f>IF(AND(G19="4 - Alto",M19=-4),"MODERADO",VLOOKUP(M19,[1]Parámetros!$B$20:$C$70,2,FALSE))</f>
        <v>#VALUE!</v>
      </c>
      <c r="O19" s="128">
        <f>+'[1]Matriz seguimiento (2)'!O19</f>
        <v>0</v>
      </c>
      <c r="P19" s="128">
        <f>+'[1]Matriz seguimiento (2)'!P19</f>
        <v>0</v>
      </c>
      <c r="Q19" s="133">
        <f>+'[1]Matriz seguimiento (2)'!Q19</f>
        <v>0</v>
      </c>
      <c r="R19" s="127">
        <f>+'[1]Matriz seguimiento (2)'!R19</f>
        <v>0</v>
      </c>
      <c r="S19" s="128">
        <f>+'[1]Matriz seguimiento (2)'!S19</f>
        <v>0</v>
      </c>
      <c r="T19" s="129">
        <f t="shared" si="9"/>
        <v>0</v>
      </c>
      <c r="U19" s="128">
        <f t="shared" si="2"/>
        <v>0</v>
      </c>
      <c r="V19" s="127" t="e">
        <f t="shared" si="3"/>
        <v>#VALUE!</v>
      </c>
      <c r="W19" s="127" t="e">
        <f t="shared" si="4"/>
        <v>#VALUE!</v>
      </c>
      <c r="X19" s="127" t="e">
        <f t="shared" si="5"/>
        <v>#VALUE!</v>
      </c>
      <c r="Y19" s="128" t="e">
        <f t="shared" si="6"/>
        <v>#VALUE!</v>
      </c>
      <c r="Z19" s="132" t="e">
        <f t="shared" si="1"/>
        <v>#VALUE!</v>
      </c>
      <c r="AA19" s="166" t="e">
        <f>IF(AND(U19="4 - Alto",Z19=-4),"MODERADO",VLOOKUP(Z19,[1]Parámetros!$B$20:$C$70,2,FALSE))</f>
        <v>#VALUE!</v>
      </c>
      <c r="AB19" s="502"/>
      <c r="AC19" s="503"/>
    </row>
    <row r="20" spans="1:29" ht="15.5" x14ac:dyDescent="0.35">
      <c r="A20" s="114">
        <f>'[1]Matriz de riesgos'!A20</f>
        <v>10</v>
      </c>
      <c r="B20" s="120">
        <f>+'[1]Matriz seguimiento (2)'!B20</f>
        <v>0</v>
      </c>
      <c r="C20" s="164">
        <f>+'[1]Matriz seguimiento (2)'!C20</f>
        <v>0</v>
      </c>
      <c r="D20" s="115">
        <f>+'[1]Matriz seguimiento (2)'!D20</f>
        <v>0</v>
      </c>
      <c r="E20" s="116">
        <f>+'[1]Matriz seguimiento (2)'!E20</f>
        <v>0</v>
      </c>
      <c r="F20" s="117">
        <f>+'[1]Matriz seguimiento (2)'!F20</f>
        <v>0</v>
      </c>
      <c r="G20" s="118"/>
      <c r="H20" s="119"/>
      <c r="I20" s="120"/>
      <c r="J20" s="120"/>
      <c r="K20" s="121" t="e">
        <f t="shared" si="7"/>
        <v>#VALUE!</v>
      </c>
      <c r="L20" s="121" t="e">
        <f t="shared" si="8"/>
        <v>#VALUE!</v>
      </c>
      <c r="M20" s="122" t="e">
        <f t="shared" si="0"/>
        <v>#VALUE!</v>
      </c>
      <c r="N20" s="124" t="e">
        <f>IF(AND(G20="4 - Alto",M20=-4),"MODERADO",VLOOKUP(M20,[1]Parámetros!$B$20:$C$70,2,FALSE))</f>
        <v>#VALUE!</v>
      </c>
      <c r="O20" s="118">
        <f>+'[1]Matriz seguimiento (2)'!O20</f>
        <v>0</v>
      </c>
      <c r="P20" s="118">
        <f>+'[1]Matriz seguimiento (2)'!P20</f>
        <v>0</v>
      </c>
      <c r="Q20" s="123">
        <f>+'[1]Matriz seguimiento (2)'!Q20</f>
        <v>0</v>
      </c>
      <c r="R20" s="119">
        <f>+'[1]Matriz seguimiento (2)'!R20</f>
        <v>0</v>
      </c>
      <c r="S20" s="118">
        <f>+'[1]Matriz seguimiento (2)'!S20</f>
        <v>0</v>
      </c>
      <c r="T20" s="119">
        <f t="shared" si="9"/>
        <v>0</v>
      </c>
      <c r="U20" s="118">
        <f t="shared" si="2"/>
        <v>0</v>
      </c>
      <c r="V20" s="119" t="e">
        <f t="shared" si="3"/>
        <v>#VALUE!</v>
      </c>
      <c r="W20" s="119" t="e">
        <f t="shared" si="4"/>
        <v>#VALUE!</v>
      </c>
      <c r="X20" s="119" t="e">
        <f t="shared" si="5"/>
        <v>#VALUE!</v>
      </c>
      <c r="Y20" s="118" t="e">
        <f t="shared" si="6"/>
        <v>#VALUE!</v>
      </c>
      <c r="Z20" s="124" t="e">
        <f t="shared" si="1"/>
        <v>#VALUE!</v>
      </c>
      <c r="AA20" s="165" t="e">
        <f>IF(AND(U20="4 - Alto",Z20=-4),"MODERADO",VLOOKUP(Z20,[1]Parámetros!$B$20:$C$70,2,FALSE))</f>
        <v>#VALUE!</v>
      </c>
      <c r="AB20" s="504"/>
      <c r="AC20" s="505"/>
    </row>
    <row r="21" spans="1:29" ht="15.5" x14ac:dyDescent="0.35">
      <c r="A21" s="125">
        <f>'[1]Matriz de riesgos'!A21</f>
        <v>11</v>
      </c>
      <c r="B21" s="129">
        <f>+'[1]Matriz seguimiento (2)'!B21</f>
        <v>0</v>
      </c>
      <c r="C21" s="126">
        <f>+'[1]Matriz seguimiento (2)'!C21</f>
        <v>0</v>
      </c>
      <c r="D21" s="126">
        <f>+'[1]Matriz seguimiento (2)'!D21</f>
        <v>0</v>
      </c>
      <c r="E21" s="126">
        <f>+'[1]Matriz seguimiento (2)'!E21</f>
        <v>0</v>
      </c>
      <c r="F21" s="129">
        <f>+'[1]Matriz seguimiento (2)'!F21</f>
        <v>0</v>
      </c>
      <c r="G21" s="128"/>
      <c r="H21" s="127"/>
      <c r="I21" s="129"/>
      <c r="J21" s="129"/>
      <c r="K21" s="130" t="e">
        <f t="shared" si="7"/>
        <v>#VALUE!</v>
      </c>
      <c r="L21" s="130" t="e">
        <f t="shared" si="8"/>
        <v>#VALUE!</v>
      </c>
      <c r="M21" s="131" t="e">
        <f t="shared" si="0"/>
        <v>#VALUE!</v>
      </c>
      <c r="N21" s="132" t="e">
        <f>IF(AND(G21="4 - Alto",M21=-4),"MODERADO",VLOOKUP(M21,[1]Parámetros!$B$20:$C$70,2,FALSE))</f>
        <v>#VALUE!</v>
      </c>
      <c r="O21" s="128">
        <f>+'[1]Matriz seguimiento (2)'!O21</f>
        <v>0</v>
      </c>
      <c r="P21" s="128">
        <f>+'[1]Matriz seguimiento (2)'!P21</f>
        <v>0</v>
      </c>
      <c r="Q21" s="133">
        <f>+'[1]Matriz seguimiento (2)'!Q21</f>
        <v>0</v>
      </c>
      <c r="R21" s="127">
        <f>+'[1]Matriz seguimiento (2)'!R21</f>
        <v>0</v>
      </c>
      <c r="S21" s="128">
        <f>+'[1]Matriz seguimiento (2)'!S21</f>
        <v>0</v>
      </c>
      <c r="T21" s="129">
        <f t="shared" si="9"/>
        <v>0</v>
      </c>
      <c r="U21" s="128">
        <f t="shared" si="2"/>
        <v>0</v>
      </c>
      <c r="V21" s="127" t="e">
        <f t="shared" si="3"/>
        <v>#VALUE!</v>
      </c>
      <c r="W21" s="127" t="e">
        <f t="shared" si="4"/>
        <v>#VALUE!</v>
      </c>
      <c r="X21" s="127" t="e">
        <f t="shared" si="5"/>
        <v>#VALUE!</v>
      </c>
      <c r="Y21" s="128" t="e">
        <f t="shared" si="6"/>
        <v>#VALUE!</v>
      </c>
      <c r="Z21" s="132" t="e">
        <f t="shared" si="1"/>
        <v>#VALUE!</v>
      </c>
      <c r="AA21" s="166" t="e">
        <f>IF(AND(U21="4 - Alto",Z21=-4),"MODERADO",VLOOKUP(Z21,[1]Parámetros!$B$20:$C$70,2,FALSE))</f>
        <v>#VALUE!</v>
      </c>
      <c r="AB21" s="502"/>
      <c r="AC21" s="503"/>
    </row>
    <row r="22" spans="1:29" ht="15.5" x14ac:dyDescent="0.35">
      <c r="A22" s="114">
        <f>'[1]Matriz de riesgos'!A22</f>
        <v>12</v>
      </c>
      <c r="B22" s="120">
        <f>+'[1]Matriz seguimiento (2)'!B22</f>
        <v>0</v>
      </c>
      <c r="C22" s="164">
        <f>+'[1]Matriz seguimiento (2)'!C22</f>
        <v>0</v>
      </c>
      <c r="D22" s="115">
        <f>+'[1]Matriz seguimiento (2)'!D22</f>
        <v>0</v>
      </c>
      <c r="E22" s="116">
        <f>+'[1]Matriz seguimiento (2)'!E22</f>
        <v>0</v>
      </c>
      <c r="F22" s="117">
        <f>+'[1]Matriz seguimiento (2)'!F22</f>
        <v>0</v>
      </c>
      <c r="G22" s="118"/>
      <c r="H22" s="119"/>
      <c r="I22" s="120"/>
      <c r="J22" s="120"/>
      <c r="K22" s="121" t="e">
        <f t="shared" si="7"/>
        <v>#VALUE!</v>
      </c>
      <c r="L22" s="121" t="e">
        <f t="shared" si="8"/>
        <v>#VALUE!</v>
      </c>
      <c r="M22" s="122" t="e">
        <f t="shared" si="0"/>
        <v>#VALUE!</v>
      </c>
      <c r="N22" s="124" t="e">
        <f>IF(AND(G22="4 - Alto",M22=-4),"MODERADO",VLOOKUP(M22,[1]Parámetros!$B$20:$C$70,2,FALSE))</f>
        <v>#VALUE!</v>
      </c>
      <c r="O22" s="118">
        <f>+'[1]Matriz seguimiento (2)'!O22</f>
        <v>0</v>
      </c>
      <c r="P22" s="118">
        <f>+'[1]Matriz seguimiento (2)'!P22</f>
        <v>0</v>
      </c>
      <c r="Q22" s="123">
        <f>+'[1]Matriz seguimiento (2)'!Q22</f>
        <v>0</v>
      </c>
      <c r="R22" s="119">
        <f>+'[1]Matriz seguimiento (2)'!R22</f>
        <v>0</v>
      </c>
      <c r="S22" s="118">
        <f>+'[1]Matriz seguimiento (2)'!S22</f>
        <v>0</v>
      </c>
      <c r="T22" s="119">
        <f>O22</f>
        <v>0</v>
      </c>
      <c r="U22" s="118">
        <f t="shared" si="2"/>
        <v>0</v>
      </c>
      <c r="V22" s="119" t="e">
        <f t="shared" si="3"/>
        <v>#VALUE!</v>
      </c>
      <c r="W22" s="119" t="e">
        <f t="shared" si="4"/>
        <v>#VALUE!</v>
      </c>
      <c r="X22" s="119" t="e">
        <f t="shared" si="5"/>
        <v>#VALUE!</v>
      </c>
      <c r="Y22" s="118" t="e">
        <f t="shared" si="6"/>
        <v>#VALUE!</v>
      </c>
      <c r="Z22" s="124" t="e">
        <f t="shared" si="1"/>
        <v>#VALUE!</v>
      </c>
      <c r="AA22" s="165" t="e">
        <f>IF(AND(U22="4 - Alto",Z22=-4),"MODERADO",VLOOKUP(Z22,[1]Parámetros!$B$20:$C$70,2,FALSE))</f>
        <v>#VALUE!</v>
      </c>
      <c r="AB22" s="504"/>
      <c r="AC22" s="505"/>
    </row>
    <row r="23" spans="1:29" ht="15.5" x14ac:dyDescent="0.35">
      <c r="A23" s="125">
        <f>'[1]Matriz de riesgos'!A23</f>
        <v>13</v>
      </c>
      <c r="B23" s="129">
        <f>+'[1]Matriz seguimiento (2)'!B23</f>
        <v>0</v>
      </c>
      <c r="C23" s="126">
        <f>+'[1]Matriz seguimiento (2)'!C23</f>
        <v>0</v>
      </c>
      <c r="D23" s="126">
        <f>+'[1]Matriz seguimiento (2)'!D23</f>
        <v>0</v>
      </c>
      <c r="E23" s="126">
        <f>+'[1]Matriz seguimiento (2)'!E23</f>
        <v>0</v>
      </c>
      <c r="F23" s="129">
        <f>+'[1]Matriz seguimiento (2)'!F23</f>
        <v>0</v>
      </c>
      <c r="G23" s="128"/>
      <c r="H23" s="127"/>
      <c r="I23" s="129"/>
      <c r="J23" s="129"/>
      <c r="K23" s="130" t="e">
        <f t="shared" si="7"/>
        <v>#VALUE!</v>
      </c>
      <c r="L23" s="130" t="e">
        <f t="shared" si="8"/>
        <v>#VALUE!</v>
      </c>
      <c r="M23" s="131" t="e">
        <f t="shared" si="0"/>
        <v>#VALUE!</v>
      </c>
      <c r="N23" s="132" t="e">
        <f>IF(AND(G23="4 - Alto",M23=-4),"MODERADO",VLOOKUP(M23,[1]Parámetros!$B$20:$C$70,2,FALSE))</f>
        <v>#VALUE!</v>
      </c>
      <c r="O23" s="128">
        <f>+'[1]Matriz seguimiento (2)'!O23</f>
        <v>0</v>
      </c>
      <c r="P23" s="128">
        <f>+'[1]Matriz seguimiento (2)'!P23</f>
        <v>0</v>
      </c>
      <c r="Q23" s="133">
        <f>+'[1]Matriz seguimiento (2)'!Q23</f>
        <v>0</v>
      </c>
      <c r="R23" s="127">
        <f>+'[1]Matriz seguimiento (2)'!R23</f>
        <v>0</v>
      </c>
      <c r="S23" s="128">
        <f>+'[1]Matriz seguimiento (2)'!S23</f>
        <v>0</v>
      </c>
      <c r="T23" s="129">
        <f t="shared" si="9"/>
        <v>0</v>
      </c>
      <c r="U23" s="128">
        <f t="shared" si="2"/>
        <v>0</v>
      </c>
      <c r="V23" s="127" t="e">
        <f t="shared" si="3"/>
        <v>#VALUE!</v>
      </c>
      <c r="W23" s="127" t="e">
        <f t="shared" si="4"/>
        <v>#VALUE!</v>
      </c>
      <c r="X23" s="127" t="e">
        <f t="shared" si="5"/>
        <v>#VALUE!</v>
      </c>
      <c r="Y23" s="128" t="e">
        <f t="shared" si="6"/>
        <v>#VALUE!</v>
      </c>
      <c r="Z23" s="132" t="e">
        <f t="shared" si="1"/>
        <v>#VALUE!</v>
      </c>
      <c r="AA23" s="166" t="e">
        <f>IF(AND(U23="4 - Alto",Z23=-4),"MODERADO",VLOOKUP(Z23,[1]Parámetros!$B$20:$C$70,2,FALSE))</f>
        <v>#VALUE!</v>
      </c>
      <c r="AB23" s="502"/>
      <c r="AC23" s="503"/>
    </row>
    <row r="24" spans="1:29" ht="15.5" x14ac:dyDescent="0.35">
      <c r="A24" s="114">
        <f>'[1]Matriz de riesgos'!A24</f>
        <v>14</v>
      </c>
      <c r="B24" s="120">
        <f>+'[1]Matriz seguimiento (2)'!B24</f>
        <v>0</v>
      </c>
      <c r="C24" s="164">
        <f>+'[1]Matriz seguimiento (2)'!C24</f>
        <v>0</v>
      </c>
      <c r="D24" s="115">
        <f>+'[1]Matriz seguimiento (2)'!D24</f>
        <v>0</v>
      </c>
      <c r="E24" s="116">
        <f>+'[1]Matriz seguimiento (2)'!E24</f>
        <v>0</v>
      </c>
      <c r="F24" s="117">
        <f>+'[1]Matriz seguimiento (2)'!F24</f>
        <v>0</v>
      </c>
      <c r="G24" s="118"/>
      <c r="H24" s="119"/>
      <c r="I24" s="120"/>
      <c r="J24" s="120"/>
      <c r="K24" s="121" t="e">
        <f t="shared" si="7"/>
        <v>#VALUE!</v>
      </c>
      <c r="L24" s="121" t="e">
        <f t="shared" si="8"/>
        <v>#VALUE!</v>
      </c>
      <c r="M24" s="122" t="e">
        <f t="shared" si="0"/>
        <v>#VALUE!</v>
      </c>
      <c r="N24" s="124" t="e">
        <f>IF(AND(G24="4 - Alto",M24=-4),"MODERADO",VLOOKUP(M24,[1]Parámetros!$B$20:$C$70,2,FALSE))</f>
        <v>#VALUE!</v>
      </c>
      <c r="O24" s="118">
        <f>+'[1]Matriz seguimiento (2)'!O24</f>
        <v>0</v>
      </c>
      <c r="P24" s="118">
        <f>+'[1]Matriz seguimiento (2)'!P24</f>
        <v>0</v>
      </c>
      <c r="Q24" s="123">
        <f>+'[1]Matriz seguimiento (2)'!Q24</f>
        <v>0</v>
      </c>
      <c r="R24" s="119">
        <f>+'[1]Matriz seguimiento (2)'!R24</f>
        <v>0</v>
      </c>
      <c r="S24" s="118">
        <f>+'[1]Matriz seguimiento (2)'!S24</f>
        <v>0</v>
      </c>
      <c r="T24" s="119">
        <f t="shared" si="9"/>
        <v>0</v>
      </c>
      <c r="U24" s="118">
        <f t="shared" si="2"/>
        <v>0</v>
      </c>
      <c r="V24" s="119" t="e">
        <f t="shared" si="3"/>
        <v>#VALUE!</v>
      </c>
      <c r="W24" s="119" t="e">
        <f t="shared" si="4"/>
        <v>#VALUE!</v>
      </c>
      <c r="X24" s="119" t="e">
        <f t="shared" si="5"/>
        <v>#VALUE!</v>
      </c>
      <c r="Y24" s="118" t="e">
        <f t="shared" si="6"/>
        <v>#VALUE!</v>
      </c>
      <c r="Z24" s="124" t="e">
        <f t="shared" si="1"/>
        <v>#VALUE!</v>
      </c>
      <c r="AA24" s="165" t="e">
        <f>IF(AND(U24="4 - Alto",Z24=-4),"MODERADO",VLOOKUP(Z24,[1]Parámetros!$B$20:$C$70,2,FALSE))</f>
        <v>#VALUE!</v>
      </c>
      <c r="AB24" s="504"/>
      <c r="AC24" s="505"/>
    </row>
    <row r="25" spans="1:29" ht="15.5" x14ac:dyDescent="0.35">
      <c r="A25" s="125">
        <f>'[1]Matriz de riesgos'!A25</f>
        <v>15</v>
      </c>
      <c r="B25" s="129">
        <f>+'[1]Matriz seguimiento (2)'!B25</f>
        <v>0</v>
      </c>
      <c r="C25" s="126">
        <f>+'[1]Matriz seguimiento (2)'!C25</f>
        <v>0</v>
      </c>
      <c r="D25" s="126">
        <f>+'[1]Matriz seguimiento (2)'!D25</f>
        <v>0</v>
      </c>
      <c r="E25" s="126">
        <f>+'[1]Matriz seguimiento (2)'!E25</f>
        <v>0</v>
      </c>
      <c r="F25" s="129">
        <f>+'[1]Matriz seguimiento (2)'!F25</f>
        <v>0</v>
      </c>
      <c r="G25" s="128"/>
      <c r="H25" s="127"/>
      <c r="I25" s="129"/>
      <c r="J25" s="129"/>
      <c r="K25" s="130" t="e">
        <f t="shared" si="7"/>
        <v>#VALUE!</v>
      </c>
      <c r="L25" s="130" t="e">
        <f t="shared" si="8"/>
        <v>#VALUE!</v>
      </c>
      <c r="M25" s="131" t="e">
        <f t="shared" si="0"/>
        <v>#VALUE!</v>
      </c>
      <c r="N25" s="132" t="e">
        <f>IF(AND(G25="4 - Alto",M25=-4),"MODERADO",VLOOKUP(M25,[1]Parámetros!$B$20:$C$70,2,FALSE))</f>
        <v>#VALUE!</v>
      </c>
      <c r="O25" s="128">
        <f>+'[1]Matriz seguimiento (2)'!O25</f>
        <v>0</v>
      </c>
      <c r="P25" s="128">
        <f>+'[1]Matriz seguimiento (2)'!P25</f>
        <v>0</v>
      </c>
      <c r="Q25" s="133">
        <f>+'[1]Matriz seguimiento (2)'!Q25</f>
        <v>0</v>
      </c>
      <c r="R25" s="127">
        <f>+'[1]Matriz seguimiento (2)'!R25</f>
        <v>0</v>
      </c>
      <c r="S25" s="128">
        <f>+'[1]Matriz seguimiento (2)'!S25</f>
        <v>0</v>
      </c>
      <c r="T25" s="129">
        <f t="shared" si="9"/>
        <v>0</v>
      </c>
      <c r="U25" s="128">
        <f t="shared" si="2"/>
        <v>0</v>
      </c>
      <c r="V25" s="127" t="e">
        <f t="shared" si="3"/>
        <v>#VALUE!</v>
      </c>
      <c r="W25" s="127" t="e">
        <f t="shared" si="4"/>
        <v>#VALUE!</v>
      </c>
      <c r="X25" s="127" t="e">
        <f t="shared" si="5"/>
        <v>#VALUE!</v>
      </c>
      <c r="Y25" s="128" t="e">
        <f t="shared" si="6"/>
        <v>#VALUE!</v>
      </c>
      <c r="Z25" s="132" t="e">
        <f t="shared" si="1"/>
        <v>#VALUE!</v>
      </c>
      <c r="AA25" s="166" t="e">
        <f>IF(AND(U25="4 - Alto",Z25=-4),"MODERADO",VLOOKUP(Z25,[1]Parámetros!$B$20:$C$70,2,FALSE))</f>
        <v>#VALUE!</v>
      </c>
      <c r="AB25" s="502"/>
      <c r="AC25" s="503"/>
    </row>
    <row r="26" spans="1:29" ht="15.5" x14ac:dyDescent="0.35">
      <c r="A26" s="114">
        <f>'[1]Matriz de riesgos'!A26</f>
        <v>16</v>
      </c>
      <c r="B26" s="120">
        <f>+'[1]Matriz seguimiento (2)'!B26</f>
        <v>0</v>
      </c>
      <c r="C26" s="164">
        <f>+'[1]Matriz seguimiento (2)'!C26</f>
        <v>0</v>
      </c>
      <c r="D26" s="115">
        <f>+'[1]Matriz seguimiento (2)'!D26</f>
        <v>0</v>
      </c>
      <c r="E26" s="116">
        <f>+'[1]Matriz seguimiento (2)'!E26</f>
        <v>0</v>
      </c>
      <c r="F26" s="117">
        <f>+'[1]Matriz seguimiento (2)'!F26</f>
        <v>0</v>
      </c>
      <c r="G26" s="118"/>
      <c r="H26" s="119"/>
      <c r="I26" s="120"/>
      <c r="J26" s="120"/>
      <c r="K26" s="121" t="e">
        <f t="shared" si="7"/>
        <v>#VALUE!</v>
      </c>
      <c r="L26" s="121" t="e">
        <f t="shared" si="8"/>
        <v>#VALUE!</v>
      </c>
      <c r="M26" s="122" t="e">
        <f t="shared" si="0"/>
        <v>#VALUE!</v>
      </c>
      <c r="N26" s="124" t="e">
        <f>IF(AND(G26="4 - Alto",M26=-4),"MODERADO",VLOOKUP(M26,[1]Parámetros!$B$20:$C$70,2,FALSE))</f>
        <v>#VALUE!</v>
      </c>
      <c r="O26" s="118">
        <f>+'[1]Matriz seguimiento (2)'!O26</f>
        <v>0</v>
      </c>
      <c r="P26" s="118">
        <f>+'[1]Matriz seguimiento (2)'!P26</f>
        <v>0</v>
      </c>
      <c r="Q26" s="123">
        <f>+'[1]Matriz seguimiento (2)'!Q26</f>
        <v>0</v>
      </c>
      <c r="R26" s="119">
        <f>+'[1]Matriz seguimiento (2)'!R26</f>
        <v>0</v>
      </c>
      <c r="S26" s="118">
        <f>+'[1]Matriz seguimiento (2)'!S26</f>
        <v>0</v>
      </c>
      <c r="T26" s="119">
        <f t="shared" si="9"/>
        <v>0</v>
      </c>
      <c r="U26" s="118">
        <f t="shared" si="2"/>
        <v>0</v>
      </c>
      <c r="V26" s="119" t="e">
        <f t="shared" si="3"/>
        <v>#VALUE!</v>
      </c>
      <c r="W26" s="119" t="e">
        <f t="shared" si="4"/>
        <v>#VALUE!</v>
      </c>
      <c r="X26" s="119" t="e">
        <f t="shared" si="5"/>
        <v>#VALUE!</v>
      </c>
      <c r="Y26" s="118" t="e">
        <f t="shared" si="6"/>
        <v>#VALUE!</v>
      </c>
      <c r="Z26" s="124" t="e">
        <f t="shared" si="1"/>
        <v>#VALUE!</v>
      </c>
      <c r="AA26" s="165" t="e">
        <f>IF(AND(U26="4 - Alto",Z26=-4),"MODERADO",VLOOKUP(Z26,[1]Parámetros!$B$20:$C$70,2,FALSE))</f>
        <v>#VALUE!</v>
      </c>
      <c r="AB26" s="504"/>
      <c r="AC26" s="505"/>
    </row>
    <row r="27" spans="1:29" ht="15.5" x14ac:dyDescent="0.35">
      <c r="A27" s="125">
        <f>'[1]Matriz de riesgos'!A27</f>
        <v>17</v>
      </c>
      <c r="B27" s="129">
        <f>+'[1]Matriz seguimiento (2)'!B27</f>
        <v>0</v>
      </c>
      <c r="C27" s="126">
        <f>+'[1]Matriz seguimiento (2)'!C27</f>
        <v>0</v>
      </c>
      <c r="D27" s="126">
        <f>+'[1]Matriz seguimiento (2)'!D27</f>
        <v>0</v>
      </c>
      <c r="E27" s="126">
        <f>+'[1]Matriz seguimiento (2)'!E27</f>
        <v>0</v>
      </c>
      <c r="F27" s="129">
        <f>+'[1]Matriz seguimiento (2)'!F27</f>
        <v>0</v>
      </c>
      <c r="G27" s="128"/>
      <c r="H27" s="127"/>
      <c r="I27" s="129"/>
      <c r="J27" s="129"/>
      <c r="K27" s="130" t="e">
        <f t="shared" si="7"/>
        <v>#VALUE!</v>
      </c>
      <c r="L27" s="130" t="e">
        <f t="shared" si="8"/>
        <v>#VALUE!</v>
      </c>
      <c r="M27" s="131" t="e">
        <f t="shared" si="0"/>
        <v>#VALUE!</v>
      </c>
      <c r="N27" s="132" t="e">
        <f>IF(AND(G27="4 - Alto",M27=-4),"MODERADO",VLOOKUP(M27,[1]Parámetros!$B$20:$C$70,2,FALSE))</f>
        <v>#VALUE!</v>
      </c>
      <c r="O27" s="128">
        <f>+'[1]Matriz seguimiento (2)'!O27</f>
        <v>0</v>
      </c>
      <c r="P27" s="128">
        <f>+'[1]Matriz seguimiento (2)'!P27</f>
        <v>0</v>
      </c>
      <c r="Q27" s="133">
        <f>+'[1]Matriz seguimiento (2)'!Q27</f>
        <v>0</v>
      </c>
      <c r="R27" s="127">
        <f>+'[1]Matriz seguimiento (2)'!R27</f>
        <v>0</v>
      </c>
      <c r="S27" s="128">
        <f>+'[1]Matriz seguimiento (2)'!S27</f>
        <v>0</v>
      </c>
      <c r="T27" s="129">
        <f t="shared" si="9"/>
        <v>0</v>
      </c>
      <c r="U27" s="128">
        <f t="shared" si="2"/>
        <v>0</v>
      </c>
      <c r="V27" s="127" t="e">
        <f t="shared" si="3"/>
        <v>#VALUE!</v>
      </c>
      <c r="W27" s="127" t="e">
        <f t="shared" si="4"/>
        <v>#VALUE!</v>
      </c>
      <c r="X27" s="127" t="e">
        <f t="shared" si="5"/>
        <v>#VALUE!</v>
      </c>
      <c r="Y27" s="128" t="e">
        <f t="shared" si="6"/>
        <v>#VALUE!</v>
      </c>
      <c r="Z27" s="132" t="e">
        <f t="shared" si="1"/>
        <v>#VALUE!</v>
      </c>
      <c r="AA27" s="166" t="e">
        <f>IF(AND(U27="4 - Alto",Z27=-4),"MODERADO",VLOOKUP(Z27,[1]Parámetros!$B$20:$C$70,2,FALSE))</f>
        <v>#VALUE!</v>
      </c>
      <c r="AB27" s="502"/>
      <c r="AC27" s="503"/>
    </row>
    <row r="28" spans="1:29" ht="15.5" x14ac:dyDescent="0.35">
      <c r="A28" s="114">
        <f>'[1]Matriz de riesgos'!A28</f>
        <v>18</v>
      </c>
      <c r="B28" s="120">
        <f>+'[1]Matriz seguimiento (2)'!B28</f>
        <v>0</v>
      </c>
      <c r="C28" s="164">
        <f>+'[1]Matriz seguimiento (2)'!C28</f>
        <v>0</v>
      </c>
      <c r="D28" s="115">
        <f>+'[1]Matriz seguimiento (2)'!D28</f>
        <v>0</v>
      </c>
      <c r="E28" s="116">
        <f>+'[1]Matriz seguimiento (2)'!E28</f>
        <v>0</v>
      </c>
      <c r="F28" s="117">
        <f>+'[1]Matriz seguimiento (2)'!F28</f>
        <v>0</v>
      </c>
      <c r="G28" s="118"/>
      <c r="H28" s="119"/>
      <c r="I28" s="120"/>
      <c r="J28" s="120"/>
      <c r="K28" s="121" t="e">
        <f t="shared" si="7"/>
        <v>#VALUE!</v>
      </c>
      <c r="L28" s="121" t="e">
        <f t="shared" si="8"/>
        <v>#VALUE!</v>
      </c>
      <c r="M28" s="122" t="e">
        <f t="shared" si="0"/>
        <v>#VALUE!</v>
      </c>
      <c r="N28" s="124" t="e">
        <f>IF(AND(G28="4 - Alto",M28=-4),"MODERADO",VLOOKUP(M28,[1]Parámetros!$B$20:$C$70,2,FALSE))</f>
        <v>#VALUE!</v>
      </c>
      <c r="O28" s="118">
        <f>+'[1]Matriz seguimiento (2)'!O28</f>
        <v>0</v>
      </c>
      <c r="P28" s="118">
        <f>+'[1]Matriz seguimiento (2)'!P28</f>
        <v>0</v>
      </c>
      <c r="Q28" s="123">
        <f>+'[1]Matriz seguimiento (2)'!Q28</f>
        <v>0</v>
      </c>
      <c r="R28" s="119">
        <f>+'[1]Matriz seguimiento (2)'!R28</f>
        <v>0</v>
      </c>
      <c r="S28" s="118">
        <f>+'[1]Matriz seguimiento (2)'!S28</f>
        <v>0</v>
      </c>
      <c r="T28" s="119">
        <f t="shared" si="9"/>
        <v>0</v>
      </c>
      <c r="U28" s="118">
        <f t="shared" si="2"/>
        <v>0</v>
      </c>
      <c r="V28" s="119" t="e">
        <f t="shared" si="3"/>
        <v>#VALUE!</v>
      </c>
      <c r="W28" s="119" t="e">
        <f t="shared" si="4"/>
        <v>#VALUE!</v>
      </c>
      <c r="X28" s="119" t="e">
        <f t="shared" si="5"/>
        <v>#VALUE!</v>
      </c>
      <c r="Y28" s="118" t="e">
        <f t="shared" si="6"/>
        <v>#VALUE!</v>
      </c>
      <c r="Z28" s="124" t="e">
        <f t="shared" si="1"/>
        <v>#VALUE!</v>
      </c>
      <c r="AA28" s="165" t="e">
        <f>IF(AND(U28="4 - Alto",Z28=-4),"MODERADO",VLOOKUP(Z28,[1]Parámetros!$B$20:$C$70,2,FALSE))</f>
        <v>#VALUE!</v>
      </c>
      <c r="AB28" s="504"/>
      <c r="AC28" s="505"/>
    </row>
    <row r="29" spans="1:29" ht="15.5" x14ac:dyDescent="0.35">
      <c r="A29" s="125">
        <f>'[1]Matriz de riesgos'!A29</f>
        <v>19</v>
      </c>
      <c r="B29" s="129">
        <f>+'[1]Matriz seguimiento (2)'!B29</f>
        <v>0</v>
      </c>
      <c r="C29" s="126">
        <f>+'[1]Matriz seguimiento (2)'!C29</f>
        <v>0</v>
      </c>
      <c r="D29" s="126">
        <f>+'[1]Matriz seguimiento (2)'!D29</f>
        <v>0</v>
      </c>
      <c r="E29" s="126">
        <f>+'[1]Matriz seguimiento (2)'!E29</f>
        <v>0</v>
      </c>
      <c r="F29" s="129">
        <f>+'[1]Matriz seguimiento (2)'!F29</f>
        <v>0</v>
      </c>
      <c r="G29" s="128"/>
      <c r="H29" s="127"/>
      <c r="I29" s="129"/>
      <c r="J29" s="129"/>
      <c r="K29" s="130" t="e">
        <f t="shared" si="7"/>
        <v>#VALUE!</v>
      </c>
      <c r="L29" s="130" t="e">
        <f t="shared" si="8"/>
        <v>#VALUE!</v>
      </c>
      <c r="M29" s="131" t="e">
        <f t="shared" si="0"/>
        <v>#VALUE!</v>
      </c>
      <c r="N29" s="132" t="e">
        <f>IF(AND(G29="4 - Alto",M29=-4),"MODERADO",VLOOKUP(M29,[1]Parámetros!$B$20:$C$70,2,FALSE))</f>
        <v>#VALUE!</v>
      </c>
      <c r="O29" s="128">
        <f>+'[1]Matriz seguimiento (2)'!O29</f>
        <v>0</v>
      </c>
      <c r="P29" s="128">
        <f>+'[1]Matriz seguimiento (2)'!P29</f>
        <v>0</v>
      </c>
      <c r="Q29" s="133">
        <f>+'[1]Matriz seguimiento (2)'!Q29</f>
        <v>0</v>
      </c>
      <c r="R29" s="127">
        <f>+'[1]Matriz seguimiento (2)'!R29</f>
        <v>0</v>
      </c>
      <c r="S29" s="128">
        <f>+'[1]Matriz seguimiento (2)'!S29</f>
        <v>0</v>
      </c>
      <c r="T29" s="129">
        <f t="shared" si="9"/>
        <v>0</v>
      </c>
      <c r="U29" s="128">
        <f t="shared" si="2"/>
        <v>0</v>
      </c>
      <c r="V29" s="127" t="e">
        <f t="shared" si="3"/>
        <v>#VALUE!</v>
      </c>
      <c r="W29" s="127" t="e">
        <f t="shared" si="4"/>
        <v>#VALUE!</v>
      </c>
      <c r="X29" s="127" t="e">
        <f t="shared" si="5"/>
        <v>#VALUE!</v>
      </c>
      <c r="Y29" s="128" t="e">
        <f t="shared" si="6"/>
        <v>#VALUE!</v>
      </c>
      <c r="Z29" s="132" t="e">
        <f t="shared" si="1"/>
        <v>#VALUE!</v>
      </c>
      <c r="AA29" s="166" t="e">
        <f>IF(AND(U29="4 - Alto",Z29=-4),"MODERADO",VLOOKUP(Z29,[1]Parámetros!$B$20:$C$70,2,FALSE))</f>
        <v>#VALUE!</v>
      </c>
      <c r="AB29" s="502"/>
      <c r="AC29" s="503"/>
    </row>
    <row r="30" spans="1:29" ht="15.5" x14ac:dyDescent="0.35">
      <c r="A30" s="114">
        <f>'[1]Matriz de riesgos'!A30</f>
        <v>20</v>
      </c>
      <c r="B30" s="120">
        <f>+'[1]Matriz seguimiento (2)'!B30</f>
        <v>0</v>
      </c>
      <c r="C30" s="164">
        <f>+'[1]Matriz seguimiento (2)'!C30</f>
        <v>0</v>
      </c>
      <c r="D30" s="115">
        <f>+'[1]Matriz seguimiento (2)'!D30</f>
        <v>0</v>
      </c>
      <c r="E30" s="116">
        <f>+'[1]Matriz seguimiento (2)'!E30</f>
        <v>0</v>
      </c>
      <c r="F30" s="117">
        <f>+'[1]Matriz seguimiento (2)'!F30</f>
        <v>0</v>
      </c>
      <c r="G30" s="118"/>
      <c r="H30" s="119"/>
      <c r="I30" s="120"/>
      <c r="J30" s="120"/>
      <c r="K30" s="121" t="e">
        <f t="shared" si="7"/>
        <v>#VALUE!</v>
      </c>
      <c r="L30" s="121" t="e">
        <f t="shared" si="8"/>
        <v>#VALUE!</v>
      </c>
      <c r="M30" s="122" t="e">
        <f t="shared" si="0"/>
        <v>#VALUE!</v>
      </c>
      <c r="N30" s="124" t="e">
        <f>IF(AND(G30="4 - Alto",M30=-4),"MODERADO",VLOOKUP(M30,[1]Parámetros!$B$20:$C$70,2,FALSE))</f>
        <v>#VALUE!</v>
      </c>
      <c r="O30" s="118">
        <f>+'[1]Matriz seguimiento (2)'!O30</f>
        <v>0</v>
      </c>
      <c r="P30" s="118">
        <f>+'[1]Matriz seguimiento (2)'!P30</f>
        <v>0</v>
      </c>
      <c r="Q30" s="123">
        <f>+'[1]Matriz seguimiento (2)'!Q30</f>
        <v>0</v>
      </c>
      <c r="R30" s="119">
        <f>+'[1]Matriz seguimiento (2)'!R30</f>
        <v>0</v>
      </c>
      <c r="S30" s="118">
        <f>+'[1]Matriz seguimiento (2)'!S30</f>
        <v>0</v>
      </c>
      <c r="T30" s="119">
        <f t="shared" si="9"/>
        <v>0</v>
      </c>
      <c r="U30" s="118">
        <f t="shared" si="2"/>
        <v>0</v>
      </c>
      <c r="V30" s="119" t="e">
        <f t="shared" si="3"/>
        <v>#VALUE!</v>
      </c>
      <c r="W30" s="119" t="e">
        <f t="shared" si="4"/>
        <v>#VALUE!</v>
      </c>
      <c r="X30" s="119" t="e">
        <f t="shared" si="5"/>
        <v>#VALUE!</v>
      </c>
      <c r="Y30" s="118" t="e">
        <f t="shared" si="6"/>
        <v>#VALUE!</v>
      </c>
      <c r="Z30" s="124" t="e">
        <f t="shared" si="1"/>
        <v>#VALUE!</v>
      </c>
      <c r="AA30" s="165" t="e">
        <f>IF(AND(U30="4 - Alto",Z30=-4),"MODERADO",VLOOKUP(Z30,[1]Parámetros!$B$20:$C$70,2,FALSE))</f>
        <v>#VALUE!</v>
      </c>
      <c r="AB30" s="504"/>
      <c r="AC30" s="505"/>
    </row>
    <row r="31" spans="1:29" ht="15.5" x14ac:dyDescent="0.35">
      <c r="A31" s="125">
        <f>'[1]Matriz de riesgos'!A31</f>
        <v>21</v>
      </c>
      <c r="B31" s="129">
        <f>+'[1]Matriz seguimiento (2)'!B31</f>
        <v>0</v>
      </c>
      <c r="C31" s="126">
        <f>+'[1]Matriz seguimiento (2)'!C31</f>
        <v>0</v>
      </c>
      <c r="D31" s="126">
        <f>+'[1]Matriz seguimiento (2)'!D31</f>
        <v>0</v>
      </c>
      <c r="E31" s="126">
        <f>+'[1]Matriz seguimiento (2)'!E31</f>
        <v>0</v>
      </c>
      <c r="F31" s="129">
        <f>+'[1]Matriz seguimiento (2)'!F31</f>
        <v>0</v>
      </c>
      <c r="G31" s="128"/>
      <c r="H31" s="127"/>
      <c r="I31" s="129"/>
      <c r="J31" s="129"/>
      <c r="K31" s="130" t="e">
        <f t="shared" si="7"/>
        <v>#VALUE!</v>
      </c>
      <c r="L31" s="130" t="e">
        <f t="shared" si="8"/>
        <v>#VALUE!</v>
      </c>
      <c r="M31" s="131" t="e">
        <f t="shared" si="0"/>
        <v>#VALUE!</v>
      </c>
      <c r="N31" s="132" t="e">
        <f>IF(AND(G31="4 - Alto",M31=-4),"MODERADO",VLOOKUP(M31,[1]Parámetros!$B$20:$C$70,2,FALSE))</f>
        <v>#VALUE!</v>
      </c>
      <c r="O31" s="128">
        <f>+'[1]Matriz seguimiento (2)'!O31</f>
        <v>0</v>
      </c>
      <c r="P31" s="128">
        <f>+'[1]Matriz seguimiento (2)'!P31</f>
        <v>0</v>
      </c>
      <c r="Q31" s="133">
        <f>+'[1]Matriz seguimiento (2)'!Q31</f>
        <v>0</v>
      </c>
      <c r="R31" s="127">
        <f>+'[1]Matriz seguimiento (2)'!R31</f>
        <v>0</v>
      </c>
      <c r="S31" s="128">
        <f>+'[1]Matriz seguimiento (2)'!S31</f>
        <v>0</v>
      </c>
      <c r="T31" s="129">
        <f>O31</f>
        <v>0</v>
      </c>
      <c r="U31" s="128">
        <f t="shared" si="2"/>
        <v>0</v>
      </c>
      <c r="V31" s="127" t="e">
        <f t="shared" si="3"/>
        <v>#VALUE!</v>
      </c>
      <c r="W31" s="127" t="e">
        <f t="shared" si="4"/>
        <v>#VALUE!</v>
      </c>
      <c r="X31" s="127" t="e">
        <f t="shared" si="5"/>
        <v>#VALUE!</v>
      </c>
      <c r="Y31" s="128" t="e">
        <f t="shared" si="6"/>
        <v>#VALUE!</v>
      </c>
      <c r="Z31" s="132" t="e">
        <f t="shared" si="1"/>
        <v>#VALUE!</v>
      </c>
      <c r="AA31" s="166" t="e">
        <f>IF(AND(U31="4 - Alto",Z31=-4),"MODERADO",VLOOKUP(Z31,[1]Parámetros!$B$20:$C$70,2,FALSE))</f>
        <v>#VALUE!</v>
      </c>
      <c r="AB31" s="502"/>
      <c r="AC31" s="503"/>
    </row>
    <row r="32" spans="1:29" ht="15.5" x14ac:dyDescent="0.35">
      <c r="A32" s="114">
        <f>'[1]Matriz de riesgos'!A32</f>
        <v>22</v>
      </c>
      <c r="B32" s="120">
        <f>+'[1]Matriz seguimiento (2)'!B32</f>
        <v>0</v>
      </c>
      <c r="C32" s="164">
        <f>+'[1]Matriz seguimiento (2)'!C32</f>
        <v>0</v>
      </c>
      <c r="D32" s="115">
        <f>+'[1]Matriz seguimiento (2)'!D32</f>
        <v>0</v>
      </c>
      <c r="E32" s="116">
        <f>+'[1]Matriz seguimiento (2)'!E32</f>
        <v>0</v>
      </c>
      <c r="F32" s="117">
        <f>+'[1]Matriz seguimiento (2)'!F32</f>
        <v>0</v>
      </c>
      <c r="G32" s="118"/>
      <c r="H32" s="119"/>
      <c r="I32" s="120"/>
      <c r="J32" s="120"/>
      <c r="K32" s="121" t="e">
        <f t="shared" si="7"/>
        <v>#VALUE!</v>
      </c>
      <c r="L32" s="121" t="e">
        <f t="shared" si="8"/>
        <v>#VALUE!</v>
      </c>
      <c r="M32" s="122" t="e">
        <f t="shared" si="0"/>
        <v>#VALUE!</v>
      </c>
      <c r="N32" s="124" t="e">
        <f>IF(AND(G32="4 - Alto",M32=-4),"MODERADO",VLOOKUP(M32,[1]Parámetros!$B$20:$C$70,2,FALSE))</f>
        <v>#VALUE!</v>
      </c>
      <c r="O32" s="118">
        <f>+'[1]Matriz seguimiento (2)'!O32</f>
        <v>0</v>
      </c>
      <c r="P32" s="118">
        <f>+'[1]Matriz seguimiento (2)'!P32</f>
        <v>0</v>
      </c>
      <c r="Q32" s="123">
        <f>+'[1]Matriz seguimiento (2)'!Q32</f>
        <v>0</v>
      </c>
      <c r="R32" s="119">
        <f>+'[1]Matriz seguimiento (2)'!R32</f>
        <v>0</v>
      </c>
      <c r="S32" s="118">
        <f>+'[1]Matriz seguimiento (2)'!S32</f>
        <v>0</v>
      </c>
      <c r="T32" s="119">
        <f t="shared" si="9"/>
        <v>0</v>
      </c>
      <c r="U32" s="118">
        <f t="shared" si="2"/>
        <v>0</v>
      </c>
      <c r="V32" s="119" t="e">
        <f t="shared" si="3"/>
        <v>#VALUE!</v>
      </c>
      <c r="W32" s="119" t="e">
        <f t="shared" si="4"/>
        <v>#VALUE!</v>
      </c>
      <c r="X32" s="119" t="e">
        <f t="shared" si="5"/>
        <v>#VALUE!</v>
      </c>
      <c r="Y32" s="118" t="e">
        <f t="shared" si="6"/>
        <v>#VALUE!</v>
      </c>
      <c r="Z32" s="124" t="e">
        <f t="shared" si="1"/>
        <v>#VALUE!</v>
      </c>
      <c r="AA32" s="165" t="e">
        <f>IF(AND(U32="4 - Alto",Z32=-4),"MODERADO",VLOOKUP(Z32,[1]Parámetros!$B$20:$C$70,2,FALSE))</f>
        <v>#VALUE!</v>
      </c>
      <c r="AB32" s="504"/>
      <c r="AC32" s="505"/>
    </row>
    <row r="33" spans="1:29" ht="15.5" x14ac:dyDescent="0.35">
      <c r="A33" s="125">
        <f>'[1]Matriz de riesgos'!A33</f>
        <v>23</v>
      </c>
      <c r="B33" s="129">
        <f>+'[1]Matriz seguimiento (2)'!B33</f>
        <v>0</v>
      </c>
      <c r="C33" s="126">
        <f>+'[1]Matriz seguimiento (2)'!C33</f>
        <v>0</v>
      </c>
      <c r="D33" s="126">
        <f>+'[1]Matriz seguimiento (2)'!D33</f>
        <v>0</v>
      </c>
      <c r="E33" s="126">
        <f>+'[1]Matriz seguimiento (2)'!E33</f>
        <v>0</v>
      </c>
      <c r="F33" s="129">
        <f>+'[1]Matriz seguimiento (2)'!F33</f>
        <v>0</v>
      </c>
      <c r="G33" s="128"/>
      <c r="H33" s="127"/>
      <c r="I33" s="129"/>
      <c r="J33" s="129"/>
      <c r="K33" s="130" t="e">
        <f t="shared" si="7"/>
        <v>#VALUE!</v>
      </c>
      <c r="L33" s="130" t="e">
        <f t="shared" si="8"/>
        <v>#VALUE!</v>
      </c>
      <c r="M33" s="131" t="e">
        <f t="shared" si="0"/>
        <v>#VALUE!</v>
      </c>
      <c r="N33" s="132" t="e">
        <f>IF(AND(G33="4 - Alto",M33=-4),"MODERADO",VLOOKUP(M33,[1]Parámetros!$B$20:$C$70,2,FALSE))</f>
        <v>#VALUE!</v>
      </c>
      <c r="O33" s="128">
        <f>+'[1]Matriz seguimiento (2)'!O33</f>
        <v>0</v>
      </c>
      <c r="P33" s="128">
        <f>+'[1]Matriz seguimiento (2)'!P33</f>
        <v>0</v>
      </c>
      <c r="Q33" s="133">
        <f>+'[1]Matriz seguimiento (2)'!Q33</f>
        <v>0</v>
      </c>
      <c r="R33" s="127">
        <f>+'[1]Matriz seguimiento (2)'!R33</f>
        <v>0</v>
      </c>
      <c r="S33" s="128">
        <f>+'[1]Matriz seguimiento (2)'!S33</f>
        <v>0</v>
      </c>
      <c r="T33" s="129">
        <f t="shared" si="9"/>
        <v>0</v>
      </c>
      <c r="U33" s="128">
        <f t="shared" si="2"/>
        <v>0</v>
      </c>
      <c r="V33" s="127" t="e">
        <f t="shared" si="3"/>
        <v>#VALUE!</v>
      </c>
      <c r="W33" s="127" t="e">
        <f t="shared" si="4"/>
        <v>#VALUE!</v>
      </c>
      <c r="X33" s="127" t="e">
        <f t="shared" si="5"/>
        <v>#VALUE!</v>
      </c>
      <c r="Y33" s="128" t="e">
        <f t="shared" si="6"/>
        <v>#VALUE!</v>
      </c>
      <c r="Z33" s="132" t="e">
        <f t="shared" si="1"/>
        <v>#VALUE!</v>
      </c>
      <c r="AA33" s="166" t="e">
        <f>IF(AND(U33="4 - Alto",Z33=-4),"MODERADO",VLOOKUP(Z33,[1]Parámetros!$B$20:$C$70,2,FALSE))</f>
        <v>#VALUE!</v>
      </c>
      <c r="AB33" s="502"/>
      <c r="AC33" s="503"/>
    </row>
    <row r="34" spans="1:29" ht="15.5" x14ac:dyDescent="0.35">
      <c r="A34" s="114">
        <f>'[1]Matriz de riesgos'!A34</f>
        <v>24</v>
      </c>
      <c r="B34" s="120">
        <f>+'[1]Matriz seguimiento (2)'!B34</f>
        <v>0</v>
      </c>
      <c r="C34" s="164">
        <f>+'[1]Matriz seguimiento (2)'!C34</f>
        <v>0</v>
      </c>
      <c r="D34" s="115">
        <f>+'[1]Matriz seguimiento (2)'!D34</f>
        <v>0</v>
      </c>
      <c r="E34" s="116">
        <f>+'[1]Matriz seguimiento (2)'!E34</f>
        <v>0</v>
      </c>
      <c r="F34" s="117">
        <f>+'[1]Matriz seguimiento (2)'!F34</f>
        <v>0</v>
      </c>
      <c r="G34" s="118"/>
      <c r="H34" s="119"/>
      <c r="I34" s="120"/>
      <c r="J34" s="120"/>
      <c r="K34" s="121" t="e">
        <f t="shared" si="7"/>
        <v>#VALUE!</v>
      </c>
      <c r="L34" s="121" t="e">
        <f t="shared" si="8"/>
        <v>#VALUE!</v>
      </c>
      <c r="M34" s="122" t="e">
        <f t="shared" si="0"/>
        <v>#VALUE!</v>
      </c>
      <c r="N34" s="124" t="e">
        <f>IF(AND(G34="4 - Alto",M34=-4),"MODERADO",VLOOKUP(M34,[1]Parámetros!$B$20:$C$70,2,FALSE))</f>
        <v>#VALUE!</v>
      </c>
      <c r="O34" s="118">
        <f>+'[1]Matriz seguimiento (2)'!O34</f>
        <v>0</v>
      </c>
      <c r="P34" s="118">
        <f>+'[1]Matriz seguimiento (2)'!P34</f>
        <v>0</v>
      </c>
      <c r="Q34" s="123">
        <f>+'[1]Matriz seguimiento (2)'!Q34</f>
        <v>0</v>
      </c>
      <c r="R34" s="119">
        <f>+'[1]Matriz seguimiento (2)'!R34</f>
        <v>0</v>
      </c>
      <c r="S34" s="118">
        <f>+'[1]Matriz seguimiento (2)'!S34</f>
        <v>0</v>
      </c>
      <c r="T34" s="119">
        <f t="shared" si="9"/>
        <v>0</v>
      </c>
      <c r="U34" s="118">
        <f t="shared" si="2"/>
        <v>0</v>
      </c>
      <c r="V34" s="119" t="e">
        <f t="shared" si="3"/>
        <v>#VALUE!</v>
      </c>
      <c r="W34" s="119" t="e">
        <f t="shared" si="4"/>
        <v>#VALUE!</v>
      </c>
      <c r="X34" s="119" t="e">
        <f t="shared" si="5"/>
        <v>#VALUE!</v>
      </c>
      <c r="Y34" s="118" t="e">
        <f t="shared" si="6"/>
        <v>#VALUE!</v>
      </c>
      <c r="Z34" s="124" t="e">
        <f t="shared" si="1"/>
        <v>#VALUE!</v>
      </c>
      <c r="AA34" s="165" t="e">
        <f>IF(AND(U34="4 - Alto",Z34=-4),"MODERADO",VLOOKUP(Z34,[1]Parámetros!$B$20:$C$70,2,FALSE))</f>
        <v>#VALUE!</v>
      </c>
      <c r="AB34" s="504"/>
      <c r="AC34" s="505"/>
    </row>
    <row r="35" spans="1:29" ht="15.5" x14ac:dyDescent="0.35">
      <c r="A35" s="125">
        <f>'[1]Matriz de riesgos'!A35</f>
        <v>25</v>
      </c>
      <c r="B35" s="129">
        <f>+'[1]Matriz seguimiento (2)'!B35</f>
        <v>0</v>
      </c>
      <c r="C35" s="126">
        <f>+'[1]Matriz seguimiento (2)'!C35</f>
        <v>0</v>
      </c>
      <c r="D35" s="126">
        <f>+'[1]Matriz seguimiento (2)'!D35</f>
        <v>0</v>
      </c>
      <c r="E35" s="126">
        <f>+'[1]Matriz seguimiento (2)'!E35</f>
        <v>0</v>
      </c>
      <c r="F35" s="129">
        <f>+'[1]Matriz seguimiento (2)'!F35</f>
        <v>0</v>
      </c>
      <c r="G35" s="128"/>
      <c r="H35" s="127"/>
      <c r="I35" s="129"/>
      <c r="J35" s="129"/>
      <c r="K35" s="130" t="e">
        <f t="shared" si="7"/>
        <v>#VALUE!</v>
      </c>
      <c r="L35" s="130" t="e">
        <f t="shared" si="8"/>
        <v>#VALUE!</v>
      </c>
      <c r="M35" s="131" t="e">
        <f t="shared" si="0"/>
        <v>#VALUE!</v>
      </c>
      <c r="N35" s="132" t="e">
        <f>IF(AND(G35="4 - Alto",M35=-4),"MODERADO",VLOOKUP(M35,[1]Parámetros!$B$20:$C$70,2,FALSE))</f>
        <v>#VALUE!</v>
      </c>
      <c r="O35" s="128">
        <f>+'[1]Matriz seguimiento (2)'!O35</f>
        <v>0</v>
      </c>
      <c r="P35" s="128">
        <f>+'[1]Matriz seguimiento (2)'!P35</f>
        <v>0</v>
      </c>
      <c r="Q35" s="133">
        <f>+'[1]Matriz seguimiento (2)'!Q35</f>
        <v>0</v>
      </c>
      <c r="R35" s="127">
        <f>+'[1]Matriz seguimiento (2)'!R35</f>
        <v>0</v>
      </c>
      <c r="S35" s="128">
        <f>+'[1]Matriz seguimiento (2)'!S35</f>
        <v>0</v>
      </c>
      <c r="T35" s="129">
        <f t="shared" si="9"/>
        <v>0</v>
      </c>
      <c r="U35" s="128">
        <f t="shared" si="2"/>
        <v>0</v>
      </c>
      <c r="V35" s="127" t="e">
        <f t="shared" si="3"/>
        <v>#VALUE!</v>
      </c>
      <c r="W35" s="127" t="e">
        <f t="shared" si="4"/>
        <v>#VALUE!</v>
      </c>
      <c r="X35" s="127" t="e">
        <f t="shared" si="5"/>
        <v>#VALUE!</v>
      </c>
      <c r="Y35" s="128" t="e">
        <f t="shared" si="6"/>
        <v>#VALUE!</v>
      </c>
      <c r="Z35" s="132" t="e">
        <f t="shared" si="1"/>
        <v>#VALUE!</v>
      </c>
      <c r="AA35" s="166" t="e">
        <f>IF(AND(U35="4 - Alto",Z35=-4),"MODERADO",VLOOKUP(Z35,[1]Parámetros!$B$20:$C$70,2,FALSE))</f>
        <v>#VALUE!</v>
      </c>
      <c r="AB35" s="502"/>
      <c r="AC35" s="503"/>
    </row>
    <row r="36" spans="1:29" ht="15.5" x14ac:dyDescent="0.35">
      <c r="A36" s="114">
        <f>'[1]Matriz de riesgos'!A36</f>
        <v>26</v>
      </c>
      <c r="B36" s="120">
        <f>+'[1]Matriz seguimiento (2)'!B36</f>
        <v>0</v>
      </c>
      <c r="C36" s="164">
        <f>+'[1]Matriz seguimiento (2)'!C36</f>
        <v>0</v>
      </c>
      <c r="D36" s="115">
        <f>+'[1]Matriz seguimiento (2)'!D36</f>
        <v>0</v>
      </c>
      <c r="E36" s="116">
        <f>+'[1]Matriz seguimiento (2)'!E36</f>
        <v>0</v>
      </c>
      <c r="F36" s="117">
        <f>+'[1]Matriz seguimiento (2)'!F36</f>
        <v>0</v>
      </c>
      <c r="G36" s="118"/>
      <c r="H36" s="119"/>
      <c r="I36" s="120"/>
      <c r="J36" s="120"/>
      <c r="K36" s="121" t="e">
        <f t="shared" si="7"/>
        <v>#VALUE!</v>
      </c>
      <c r="L36" s="121" t="e">
        <f t="shared" si="8"/>
        <v>#VALUE!</v>
      </c>
      <c r="M36" s="122" t="e">
        <f t="shared" si="0"/>
        <v>#VALUE!</v>
      </c>
      <c r="N36" s="124" t="e">
        <f>IF(AND(G36="4 - Alto",M36=-4),"MODERADO",VLOOKUP(M36,[1]Parámetros!$B$20:$C$70,2,FALSE))</f>
        <v>#VALUE!</v>
      </c>
      <c r="O36" s="118">
        <f>+'[1]Matriz seguimiento (2)'!O36</f>
        <v>0</v>
      </c>
      <c r="P36" s="118">
        <f>+'[1]Matriz seguimiento (2)'!P36</f>
        <v>0</v>
      </c>
      <c r="Q36" s="123">
        <f>+'[1]Matriz seguimiento (2)'!Q36</f>
        <v>0</v>
      </c>
      <c r="R36" s="119">
        <f>+'[1]Matriz seguimiento (2)'!R36</f>
        <v>0</v>
      </c>
      <c r="S36" s="118">
        <f>+'[1]Matriz seguimiento (2)'!S36</f>
        <v>0</v>
      </c>
      <c r="T36" s="119">
        <f>O36</f>
        <v>0</v>
      </c>
      <c r="U36" s="118">
        <f t="shared" si="2"/>
        <v>0</v>
      </c>
      <c r="V36" s="119" t="e">
        <f t="shared" si="3"/>
        <v>#VALUE!</v>
      </c>
      <c r="W36" s="119" t="e">
        <f t="shared" si="4"/>
        <v>#VALUE!</v>
      </c>
      <c r="X36" s="119" t="e">
        <f t="shared" si="5"/>
        <v>#VALUE!</v>
      </c>
      <c r="Y36" s="118" t="e">
        <f t="shared" si="6"/>
        <v>#VALUE!</v>
      </c>
      <c r="Z36" s="124" t="e">
        <f t="shared" si="1"/>
        <v>#VALUE!</v>
      </c>
      <c r="AA36" s="165" t="e">
        <f>IF(AND(U36="4 - Alto",Z36=-4),"MODERADO",VLOOKUP(Z36,[1]Parámetros!$B$20:$C$70,2,FALSE))</f>
        <v>#VALUE!</v>
      </c>
      <c r="AB36" s="504"/>
      <c r="AC36" s="505"/>
    </row>
    <row r="37" spans="1:29" ht="15.5" x14ac:dyDescent="0.35">
      <c r="A37" s="125">
        <f>'[1]Matriz de riesgos'!A37</f>
        <v>27</v>
      </c>
      <c r="B37" s="129">
        <f>+'[1]Matriz seguimiento (2)'!B37</f>
        <v>0</v>
      </c>
      <c r="C37" s="126">
        <f>+'[1]Matriz seguimiento (2)'!C37</f>
        <v>0</v>
      </c>
      <c r="D37" s="126">
        <f>+'[1]Matriz seguimiento (2)'!D37</f>
        <v>0</v>
      </c>
      <c r="E37" s="126">
        <f>+'[1]Matriz seguimiento (2)'!E37</f>
        <v>0</v>
      </c>
      <c r="F37" s="129">
        <f>+'[1]Matriz seguimiento (2)'!F37</f>
        <v>0</v>
      </c>
      <c r="G37" s="128"/>
      <c r="H37" s="127"/>
      <c r="I37" s="129"/>
      <c r="J37" s="129"/>
      <c r="K37" s="130" t="e">
        <f t="shared" si="7"/>
        <v>#VALUE!</v>
      </c>
      <c r="L37" s="130" t="e">
        <f t="shared" si="8"/>
        <v>#VALUE!</v>
      </c>
      <c r="M37" s="131" t="e">
        <f t="shared" si="0"/>
        <v>#VALUE!</v>
      </c>
      <c r="N37" s="132" t="e">
        <f>IF(AND(G37="4 - Alto",M37=-4),"MODERADO",VLOOKUP(M37,[1]Parámetros!$B$20:$C$70,2,FALSE))</f>
        <v>#VALUE!</v>
      </c>
      <c r="O37" s="128">
        <f>+'[1]Matriz seguimiento (2)'!O37</f>
        <v>0</v>
      </c>
      <c r="P37" s="128">
        <f>+'[1]Matriz seguimiento (2)'!P37</f>
        <v>0</v>
      </c>
      <c r="Q37" s="133">
        <f>+'[1]Matriz seguimiento (2)'!Q37</f>
        <v>0</v>
      </c>
      <c r="R37" s="127">
        <f>+'[1]Matriz seguimiento (2)'!R37</f>
        <v>0</v>
      </c>
      <c r="S37" s="128">
        <f>+'[1]Matriz seguimiento (2)'!S37</f>
        <v>0</v>
      </c>
      <c r="T37" s="129">
        <f t="shared" si="9"/>
        <v>0</v>
      </c>
      <c r="U37" s="128">
        <f t="shared" si="2"/>
        <v>0</v>
      </c>
      <c r="V37" s="127" t="e">
        <f t="shared" si="3"/>
        <v>#VALUE!</v>
      </c>
      <c r="W37" s="127" t="e">
        <f t="shared" si="4"/>
        <v>#VALUE!</v>
      </c>
      <c r="X37" s="127" t="e">
        <f t="shared" si="5"/>
        <v>#VALUE!</v>
      </c>
      <c r="Y37" s="128" t="e">
        <f t="shared" si="6"/>
        <v>#VALUE!</v>
      </c>
      <c r="Z37" s="132" t="e">
        <f t="shared" si="1"/>
        <v>#VALUE!</v>
      </c>
      <c r="AA37" s="166" t="e">
        <f>IF(AND(U37="4 - Alto",Z37=-4),"MODERADO",VLOOKUP(Z37,[1]Parámetros!$B$20:$C$70,2,FALSE))</f>
        <v>#VALUE!</v>
      </c>
      <c r="AB37" s="502"/>
      <c r="AC37" s="503"/>
    </row>
    <row r="38" spans="1:29" ht="15.5" x14ac:dyDescent="0.35">
      <c r="A38" s="114">
        <f>'[1]Matriz de riesgos'!A38</f>
        <v>28</v>
      </c>
      <c r="B38" s="120">
        <f>+'[1]Matriz seguimiento (2)'!B38</f>
        <v>0</v>
      </c>
      <c r="C38" s="164">
        <f>+'[1]Matriz seguimiento (2)'!C38</f>
        <v>0</v>
      </c>
      <c r="D38" s="115">
        <f>+'[1]Matriz seguimiento (2)'!D38</f>
        <v>0</v>
      </c>
      <c r="E38" s="116">
        <f>+'[1]Matriz seguimiento (2)'!E38</f>
        <v>0</v>
      </c>
      <c r="F38" s="117">
        <f>+'[1]Matriz seguimiento (2)'!F38</f>
        <v>0</v>
      </c>
      <c r="G38" s="118"/>
      <c r="H38" s="119"/>
      <c r="I38" s="120"/>
      <c r="J38" s="120"/>
      <c r="K38" s="121" t="e">
        <f t="shared" si="7"/>
        <v>#VALUE!</v>
      </c>
      <c r="L38" s="121" t="e">
        <f t="shared" si="8"/>
        <v>#VALUE!</v>
      </c>
      <c r="M38" s="122" t="e">
        <f t="shared" si="0"/>
        <v>#VALUE!</v>
      </c>
      <c r="N38" s="124" t="e">
        <f>IF(AND(G38="4 - Alto",M38=-4),"MODERADO",VLOOKUP(M38,[1]Parámetros!$B$20:$C$70,2,FALSE))</f>
        <v>#VALUE!</v>
      </c>
      <c r="O38" s="118">
        <f>+'[1]Matriz seguimiento (2)'!O38</f>
        <v>0</v>
      </c>
      <c r="P38" s="118">
        <f>+'[1]Matriz seguimiento (2)'!P38</f>
        <v>0</v>
      </c>
      <c r="Q38" s="123">
        <f>+'[1]Matriz seguimiento (2)'!Q38</f>
        <v>0</v>
      </c>
      <c r="R38" s="119">
        <f>+'[1]Matriz seguimiento (2)'!R38</f>
        <v>0</v>
      </c>
      <c r="S38" s="118">
        <f>+'[1]Matriz seguimiento (2)'!S38</f>
        <v>0</v>
      </c>
      <c r="T38" s="119">
        <f t="shared" si="9"/>
        <v>0</v>
      </c>
      <c r="U38" s="118">
        <f t="shared" si="2"/>
        <v>0</v>
      </c>
      <c r="V38" s="119" t="e">
        <f t="shared" si="3"/>
        <v>#VALUE!</v>
      </c>
      <c r="W38" s="119" t="e">
        <f t="shared" si="4"/>
        <v>#VALUE!</v>
      </c>
      <c r="X38" s="119" t="e">
        <f t="shared" si="5"/>
        <v>#VALUE!</v>
      </c>
      <c r="Y38" s="118" t="e">
        <f t="shared" si="6"/>
        <v>#VALUE!</v>
      </c>
      <c r="Z38" s="124" t="e">
        <f t="shared" si="1"/>
        <v>#VALUE!</v>
      </c>
      <c r="AA38" s="165" t="e">
        <f>IF(AND(U38="4 - Alto",Z38=-4),"MODERADO",VLOOKUP(Z38,[1]Parámetros!$B$20:$C$70,2,FALSE))</f>
        <v>#VALUE!</v>
      </c>
      <c r="AB38" s="504"/>
      <c r="AC38" s="505"/>
    </row>
    <row r="39" spans="1:29" ht="15.5" x14ac:dyDescent="0.35">
      <c r="A39" s="125">
        <f>'[1]Matriz de riesgos'!A39</f>
        <v>29</v>
      </c>
      <c r="B39" s="129">
        <f>+'[1]Matriz seguimiento (2)'!B39</f>
        <v>0</v>
      </c>
      <c r="C39" s="126">
        <f>+'[1]Matriz seguimiento (2)'!C39</f>
        <v>0</v>
      </c>
      <c r="D39" s="126">
        <f>+'[1]Matriz seguimiento (2)'!D39</f>
        <v>0</v>
      </c>
      <c r="E39" s="126">
        <f>+'[1]Matriz seguimiento (2)'!E39</f>
        <v>0</v>
      </c>
      <c r="F39" s="129">
        <f>+'[1]Matriz seguimiento (2)'!F39</f>
        <v>0</v>
      </c>
      <c r="G39" s="128"/>
      <c r="H39" s="127"/>
      <c r="I39" s="129"/>
      <c r="J39" s="129"/>
      <c r="K39" s="130" t="e">
        <f t="shared" si="7"/>
        <v>#VALUE!</v>
      </c>
      <c r="L39" s="130" t="e">
        <f t="shared" si="8"/>
        <v>#VALUE!</v>
      </c>
      <c r="M39" s="131" t="e">
        <f t="shared" si="0"/>
        <v>#VALUE!</v>
      </c>
      <c r="N39" s="132" t="e">
        <f>IF(AND(G39="4 - Alto",M39=-4),"MODERADO",VLOOKUP(M39,[1]Parámetros!$B$20:$C$70,2,FALSE))</f>
        <v>#VALUE!</v>
      </c>
      <c r="O39" s="128">
        <f>+'[1]Matriz seguimiento (2)'!O39</f>
        <v>0</v>
      </c>
      <c r="P39" s="128">
        <f>+'[1]Matriz seguimiento (2)'!P39</f>
        <v>0</v>
      </c>
      <c r="Q39" s="133">
        <f>+'[1]Matriz seguimiento (2)'!Q39</f>
        <v>0</v>
      </c>
      <c r="R39" s="127">
        <f>+'[1]Matriz seguimiento (2)'!R39</f>
        <v>0</v>
      </c>
      <c r="S39" s="128">
        <f>+'[1]Matriz seguimiento (2)'!S39</f>
        <v>0</v>
      </c>
      <c r="T39" s="129">
        <f t="shared" si="9"/>
        <v>0</v>
      </c>
      <c r="U39" s="128">
        <f t="shared" si="2"/>
        <v>0</v>
      </c>
      <c r="V39" s="127" t="e">
        <f t="shared" si="3"/>
        <v>#VALUE!</v>
      </c>
      <c r="W39" s="127" t="e">
        <f t="shared" si="4"/>
        <v>#VALUE!</v>
      </c>
      <c r="X39" s="127" t="e">
        <f t="shared" si="5"/>
        <v>#VALUE!</v>
      </c>
      <c r="Y39" s="128" t="e">
        <f t="shared" si="6"/>
        <v>#VALUE!</v>
      </c>
      <c r="Z39" s="132" t="e">
        <f t="shared" si="1"/>
        <v>#VALUE!</v>
      </c>
      <c r="AA39" s="166" t="e">
        <f>IF(AND(U39="4 - Alto",Z39=-4),"MODERADO",VLOOKUP(Z39,[1]Parámetros!$B$20:$C$70,2,FALSE))</f>
        <v>#VALUE!</v>
      </c>
      <c r="AB39" s="502"/>
      <c r="AC39" s="503"/>
    </row>
    <row r="40" spans="1:29" ht="15.5" x14ac:dyDescent="0.35">
      <c r="A40" s="114">
        <f>'[1]Matriz de riesgos'!A40</f>
        <v>30</v>
      </c>
      <c r="B40" s="120">
        <f>+'[1]Matriz seguimiento (2)'!B40</f>
        <v>0</v>
      </c>
      <c r="C40" s="164">
        <f>+'[1]Matriz seguimiento (2)'!C40</f>
        <v>0</v>
      </c>
      <c r="D40" s="115">
        <f>+'[1]Matriz seguimiento (2)'!D40</f>
        <v>0</v>
      </c>
      <c r="E40" s="116">
        <f>+'[1]Matriz seguimiento (2)'!E40</f>
        <v>0</v>
      </c>
      <c r="F40" s="117">
        <f>+'[1]Matriz seguimiento (2)'!F40</f>
        <v>0</v>
      </c>
      <c r="G40" s="118"/>
      <c r="H40" s="119"/>
      <c r="I40" s="120"/>
      <c r="J40" s="120"/>
      <c r="K40" s="121" t="e">
        <f t="shared" si="7"/>
        <v>#VALUE!</v>
      </c>
      <c r="L40" s="121" t="e">
        <f t="shared" si="8"/>
        <v>#VALUE!</v>
      </c>
      <c r="M40" s="122" t="e">
        <f t="shared" si="0"/>
        <v>#VALUE!</v>
      </c>
      <c r="N40" s="124" t="e">
        <f>IF(AND(G40="4 - Alto",M40=-4),"MODERADO",VLOOKUP(M40,[1]Parámetros!$B$20:$C$70,2,FALSE))</f>
        <v>#VALUE!</v>
      </c>
      <c r="O40" s="118">
        <f>+'[1]Matriz seguimiento (2)'!O40</f>
        <v>0</v>
      </c>
      <c r="P40" s="118">
        <f>+'[1]Matriz seguimiento (2)'!P40</f>
        <v>0</v>
      </c>
      <c r="Q40" s="123">
        <f>+'[1]Matriz seguimiento (2)'!Q40</f>
        <v>0</v>
      </c>
      <c r="R40" s="119">
        <f>+'[1]Matriz seguimiento (2)'!R40</f>
        <v>0</v>
      </c>
      <c r="S40" s="118">
        <f>+'[1]Matriz seguimiento (2)'!S40</f>
        <v>0</v>
      </c>
      <c r="T40" s="119">
        <f t="shared" si="9"/>
        <v>0</v>
      </c>
      <c r="U40" s="118">
        <f t="shared" si="2"/>
        <v>0</v>
      </c>
      <c r="V40" s="119" t="e">
        <f t="shared" si="3"/>
        <v>#VALUE!</v>
      </c>
      <c r="W40" s="119" t="e">
        <f t="shared" si="4"/>
        <v>#VALUE!</v>
      </c>
      <c r="X40" s="119" t="e">
        <f t="shared" si="5"/>
        <v>#VALUE!</v>
      </c>
      <c r="Y40" s="118" t="e">
        <f t="shared" si="6"/>
        <v>#VALUE!</v>
      </c>
      <c r="Z40" s="124" t="e">
        <f t="shared" si="1"/>
        <v>#VALUE!</v>
      </c>
      <c r="AA40" s="165" t="e">
        <f>IF(AND(U40="4 - Alto",Z40=-4),"MODERADO",VLOOKUP(Z40,[1]Parámetros!$B$20:$C$70,2,FALSE))</f>
        <v>#VALUE!</v>
      </c>
      <c r="AB40" s="504"/>
      <c r="AC40" s="505"/>
    </row>
    <row r="41" spans="1:29" ht="15.5" x14ac:dyDescent="0.35">
      <c r="A41" s="125">
        <f>'[1]Matriz de riesgos'!A41</f>
        <v>31</v>
      </c>
      <c r="B41" s="129">
        <f>+'[1]Matriz seguimiento (2)'!B41</f>
        <v>0</v>
      </c>
      <c r="C41" s="126">
        <f>+'[1]Matriz seguimiento (2)'!C41</f>
        <v>0</v>
      </c>
      <c r="D41" s="126">
        <f>+'[1]Matriz seguimiento (2)'!D41</f>
        <v>0</v>
      </c>
      <c r="E41" s="126">
        <f>+'[1]Matriz seguimiento (2)'!E41</f>
        <v>0</v>
      </c>
      <c r="F41" s="129">
        <f>+'[1]Matriz seguimiento (2)'!F41</f>
        <v>0</v>
      </c>
      <c r="G41" s="128"/>
      <c r="H41" s="127"/>
      <c r="I41" s="129"/>
      <c r="J41" s="129"/>
      <c r="K41" s="130" t="e">
        <f t="shared" si="7"/>
        <v>#VALUE!</v>
      </c>
      <c r="L41" s="130" t="e">
        <f t="shared" si="8"/>
        <v>#VALUE!</v>
      </c>
      <c r="M41" s="131" t="e">
        <f t="shared" si="0"/>
        <v>#VALUE!</v>
      </c>
      <c r="N41" s="132" t="e">
        <f>IF(AND(G41="4 - Alto",M41=-4),"MODERADO",VLOOKUP(M41,[1]Parámetros!$B$20:$C$70,2,FALSE))</f>
        <v>#VALUE!</v>
      </c>
      <c r="O41" s="128">
        <f>+'[1]Matriz seguimiento (2)'!O41</f>
        <v>0</v>
      </c>
      <c r="P41" s="128">
        <f>+'[1]Matriz seguimiento (2)'!P41</f>
        <v>0</v>
      </c>
      <c r="Q41" s="133">
        <f>+'[1]Matriz seguimiento (2)'!Q41</f>
        <v>0</v>
      </c>
      <c r="R41" s="127">
        <f>+'[1]Matriz seguimiento (2)'!R41</f>
        <v>0</v>
      </c>
      <c r="S41" s="128">
        <f>+'[1]Matriz seguimiento (2)'!S41</f>
        <v>0</v>
      </c>
      <c r="T41" s="129">
        <f t="shared" si="9"/>
        <v>0</v>
      </c>
      <c r="U41" s="128">
        <f t="shared" si="2"/>
        <v>0</v>
      </c>
      <c r="V41" s="127" t="e">
        <f t="shared" si="3"/>
        <v>#VALUE!</v>
      </c>
      <c r="W41" s="127" t="e">
        <f t="shared" si="4"/>
        <v>#VALUE!</v>
      </c>
      <c r="X41" s="127" t="e">
        <f t="shared" si="5"/>
        <v>#VALUE!</v>
      </c>
      <c r="Y41" s="128" t="e">
        <f t="shared" si="6"/>
        <v>#VALUE!</v>
      </c>
      <c r="Z41" s="132" t="e">
        <f t="shared" si="1"/>
        <v>#VALUE!</v>
      </c>
      <c r="AA41" s="166" t="e">
        <f>IF(AND(U41="4 - Alto",Z41=-4),"MODERADO",VLOOKUP(Z41,[1]Parámetros!$B$20:$C$70,2,FALSE))</f>
        <v>#VALUE!</v>
      </c>
      <c r="AB41" s="502"/>
      <c r="AC41" s="503"/>
    </row>
    <row r="42" spans="1:29" ht="15.5" x14ac:dyDescent="0.35">
      <c r="A42" s="114">
        <f>'[1]Matriz de riesgos'!A42</f>
        <v>32</v>
      </c>
      <c r="B42" s="120">
        <f>+'[1]Matriz seguimiento (2)'!B42</f>
        <v>0</v>
      </c>
      <c r="C42" s="164">
        <f>+'[1]Matriz seguimiento (2)'!C42</f>
        <v>0</v>
      </c>
      <c r="D42" s="115">
        <f>+'[1]Matriz seguimiento (2)'!D42</f>
        <v>0</v>
      </c>
      <c r="E42" s="116">
        <f>+'[1]Matriz seguimiento (2)'!E42</f>
        <v>0</v>
      </c>
      <c r="F42" s="117">
        <f>+'[1]Matriz seguimiento (2)'!F42</f>
        <v>0</v>
      </c>
      <c r="G42" s="118"/>
      <c r="H42" s="119"/>
      <c r="I42" s="120"/>
      <c r="J42" s="120"/>
      <c r="K42" s="121" t="e">
        <f t="shared" si="7"/>
        <v>#VALUE!</v>
      </c>
      <c r="L42" s="121" t="e">
        <f t="shared" si="8"/>
        <v>#VALUE!</v>
      </c>
      <c r="M42" s="122" t="e">
        <f t="shared" si="0"/>
        <v>#VALUE!</v>
      </c>
      <c r="N42" s="124" t="e">
        <f>IF(AND(G42="4 - Alto",M42=-4),"MODERADO",VLOOKUP(M42,[1]Parámetros!$B$20:$C$70,2,FALSE))</f>
        <v>#VALUE!</v>
      </c>
      <c r="O42" s="118">
        <f>+'[1]Matriz seguimiento (2)'!O42</f>
        <v>0</v>
      </c>
      <c r="P42" s="118">
        <f>+'[1]Matriz seguimiento (2)'!P42</f>
        <v>0</v>
      </c>
      <c r="Q42" s="123">
        <f>+'[1]Matriz seguimiento (2)'!Q42</f>
        <v>0</v>
      </c>
      <c r="R42" s="119">
        <f>+'[1]Matriz seguimiento (2)'!R42</f>
        <v>0</v>
      </c>
      <c r="S42" s="118">
        <f>+'[1]Matriz seguimiento (2)'!S42</f>
        <v>0</v>
      </c>
      <c r="T42" s="119">
        <f t="shared" si="9"/>
        <v>0</v>
      </c>
      <c r="U42" s="118">
        <f t="shared" si="2"/>
        <v>0</v>
      </c>
      <c r="V42" s="119" t="e">
        <f t="shared" si="3"/>
        <v>#VALUE!</v>
      </c>
      <c r="W42" s="119" t="e">
        <f t="shared" si="4"/>
        <v>#VALUE!</v>
      </c>
      <c r="X42" s="119" t="e">
        <f t="shared" si="5"/>
        <v>#VALUE!</v>
      </c>
      <c r="Y42" s="118" t="e">
        <f t="shared" si="6"/>
        <v>#VALUE!</v>
      </c>
      <c r="Z42" s="124" t="e">
        <f t="shared" si="1"/>
        <v>#VALUE!</v>
      </c>
      <c r="AA42" s="165" t="e">
        <f>IF(AND(U42="4 - Alto",Z42=-4),"MODERADO",VLOOKUP(Z42,[1]Parámetros!$B$20:$C$70,2,FALSE))</f>
        <v>#VALUE!</v>
      </c>
      <c r="AB42" s="504"/>
      <c r="AC42" s="505"/>
    </row>
    <row r="43" spans="1:29" ht="15.5" x14ac:dyDescent="0.35">
      <c r="A43" s="125">
        <f>'[1]Matriz de riesgos'!A43</f>
        <v>33</v>
      </c>
      <c r="B43" s="129">
        <f>+'[1]Matriz seguimiento (2)'!B43</f>
        <v>0</v>
      </c>
      <c r="C43" s="126">
        <f>+'[1]Matriz seguimiento (2)'!C43</f>
        <v>0</v>
      </c>
      <c r="D43" s="126">
        <f>+'[1]Matriz seguimiento (2)'!D43</f>
        <v>0</v>
      </c>
      <c r="E43" s="126">
        <f>+'[1]Matriz seguimiento (2)'!E43</f>
        <v>0</v>
      </c>
      <c r="F43" s="129">
        <f>+'[1]Matriz seguimiento (2)'!F43</f>
        <v>0</v>
      </c>
      <c r="G43" s="128"/>
      <c r="H43" s="127"/>
      <c r="I43" s="129"/>
      <c r="J43" s="129"/>
      <c r="K43" s="130" t="e">
        <f t="shared" si="7"/>
        <v>#VALUE!</v>
      </c>
      <c r="L43" s="130" t="e">
        <f t="shared" si="8"/>
        <v>#VALUE!</v>
      </c>
      <c r="M43" s="131" t="e">
        <f t="shared" si="0"/>
        <v>#VALUE!</v>
      </c>
      <c r="N43" s="132" t="e">
        <f>IF(AND(G43="4 - Alto",M43=-4),"MODERADO",VLOOKUP(M43,[1]Parámetros!$B$20:$C$70,2,FALSE))</f>
        <v>#VALUE!</v>
      </c>
      <c r="O43" s="128">
        <f>+'[1]Matriz seguimiento (2)'!O43</f>
        <v>0</v>
      </c>
      <c r="P43" s="128">
        <f>+'[1]Matriz seguimiento (2)'!P43</f>
        <v>0</v>
      </c>
      <c r="Q43" s="133">
        <f>+'[1]Matriz seguimiento (2)'!Q43</f>
        <v>0</v>
      </c>
      <c r="R43" s="127">
        <f>+'[1]Matriz seguimiento (2)'!R43</f>
        <v>0</v>
      </c>
      <c r="S43" s="128">
        <f>+'[1]Matriz seguimiento (2)'!S43</f>
        <v>0</v>
      </c>
      <c r="T43" s="129">
        <f t="shared" si="9"/>
        <v>0</v>
      </c>
      <c r="U43" s="128">
        <f t="shared" si="2"/>
        <v>0</v>
      </c>
      <c r="V43" s="127" t="e">
        <f t="shared" si="3"/>
        <v>#VALUE!</v>
      </c>
      <c r="W43" s="127" t="e">
        <f t="shared" si="4"/>
        <v>#VALUE!</v>
      </c>
      <c r="X43" s="127" t="e">
        <f t="shared" si="5"/>
        <v>#VALUE!</v>
      </c>
      <c r="Y43" s="128" t="e">
        <f t="shared" si="6"/>
        <v>#VALUE!</v>
      </c>
      <c r="Z43" s="132" t="e">
        <f t="shared" si="1"/>
        <v>#VALUE!</v>
      </c>
      <c r="AA43" s="166" t="e">
        <f>IF(AND(U43="4 - Alto",Z43=-4),"MODERADO",VLOOKUP(Z43,[1]Parámetros!$B$20:$C$70,2,FALSE))</f>
        <v>#VALUE!</v>
      </c>
      <c r="AB43" s="502"/>
      <c r="AC43" s="503"/>
    </row>
    <row r="44" spans="1:29" ht="15.5" x14ac:dyDescent="0.35">
      <c r="A44" s="114">
        <f>'[1]Matriz de riesgos'!A44</f>
        <v>34</v>
      </c>
      <c r="B44" s="120">
        <f>+'[1]Matriz seguimiento (2)'!B44</f>
        <v>0</v>
      </c>
      <c r="C44" s="164">
        <f>+'[1]Matriz seguimiento (2)'!C44</f>
        <v>0</v>
      </c>
      <c r="D44" s="115">
        <f>+'[1]Matriz seguimiento (2)'!D44</f>
        <v>0</v>
      </c>
      <c r="E44" s="116">
        <f>+'[1]Matriz seguimiento (2)'!E44</f>
        <v>0</v>
      </c>
      <c r="F44" s="117">
        <f>+'[1]Matriz seguimiento (2)'!F44</f>
        <v>0</v>
      </c>
      <c r="G44" s="118"/>
      <c r="H44" s="119"/>
      <c r="I44" s="120"/>
      <c r="J44" s="120"/>
      <c r="K44" s="121" t="e">
        <f t="shared" si="7"/>
        <v>#VALUE!</v>
      </c>
      <c r="L44" s="121" t="e">
        <f t="shared" si="8"/>
        <v>#VALUE!</v>
      </c>
      <c r="M44" s="122" t="e">
        <f t="shared" si="0"/>
        <v>#VALUE!</v>
      </c>
      <c r="N44" s="124" t="e">
        <f>IF(AND(G44="4 - Alto",M44=-4),"MODERADO",VLOOKUP(M44,[1]Parámetros!$B$20:$C$70,2,FALSE))</f>
        <v>#VALUE!</v>
      </c>
      <c r="O44" s="118">
        <f>+'[1]Matriz seguimiento (2)'!O44</f>
        <v>0</v>
      </c>
      <c r="P44" s="118">
        <f>+'[1]Matriz seguimiento (2)'!P44</f>
        <v>0</v>
      </c>
      <c r="Q44" s="123">
        <f>+'[1]Matriz seguimiento (2)'!Q44</f>
        <v>0</v>
      </c>
      <c r="R44" s="119">
        <f>+'[1]Matriz seguimiento (2)'!R44</f>
        <v>0</v>
      </c>
      <c r="S44" s="118">
        <f>+'[1]Matriz seguimiento (2)'!S44</f>
        <v>0</v>
      </c>
      <c r="T44" s="119">
        <f t="shared" si="9"/>
        <v>0</v>
      </c>
      <c r="U44" s="118">
        <f t="shared" si="2"/>
        <v>0</v>
      </c>
      <c r="V44" s="119" t="e">
        <f t="shared" si="3"/>
        <v>#VALUE!</v>
      </c>
      <c r="W44" s="119" t="e">
        <f t="shared" si="4"/>
        <v>#VALUE!</v>
      </c>
      <c r="X44" s="119" t="e">
        <f t="shared" si="5"/>
        <v>#VALUE!</v>
      </c>
      <c r="Y44" s="118" t="e">
        <f t="shared" si="6"/>
        <v>#VALUE!</v>
      </c>
      <c r="Z44" s="124" t="e">
        <f t="shared" si="1"/>
        <v>#VALUE!</v>
      </c>
      <c r="AA44" s="165" t="e">
        <f>IF(AND(U44="4 - Alto",Z44=-4),"MODERADO",VLOOKUP(Z44,[1]Parámetros!$B$20:$C$70,2,FALSE))</f>
        <v>#VALUE!</v>
      </c>
      <c r="AB44" s="504"/>
      <c r="AC44" s="505"/>
    </row>
    <row r="45" spans="1:29" ht="15.5" x14ac:dyDescent="0.35">
      <c r="A45" s="125">
        <f>'[1]Matriz de riesgos'!A45</f>
        <v>35</v>
      </c>
      <c r="B45" s="129">
        <f>+'[1]Matriz seguimiento (2)'!B45</f>
        <v>0</v>
      </c>
      <c r="C45" s="126">
        <f>+'[1]Matriz seguimiento (2)'!C45</f>
        <v>0</v>
      </c>
      <c r="D45" s="126">
        <f>+'[1]Matriz seguimiento (2)'!D45</f>
        <v>0</v>
      </c>
      <c r="E45" s="126">
        <f>+'[1]Matriz seguimiento (2)'!E45</f>
        <v>0</v>
      </c>
      <c r="F45" s="129">
        <f>+'[1]Matriz seguimiento (2)'!F45</f>
        <v>0</v>
      </c>
      <c r="G45" s="128"/>
      <c r="H45" s="127"/>
      <c r="I45" s="129"/>
      <c r="J45" s="129"/>
      <c r="K45" s="130" t="e">
        <f t="shared" si="7"/>
        <v>#VALUE!</v>
      </c>
      <c r="L45" s="130" t="e">
        <f t="shared" si="8"/>
        <v>#VALUE!</v>
      </c>
      <c r="M45" s="131" t="e">
        <f t="shared" si="0"/>
        <v>#VALUE!</v>
      </c>
      <c r="N45" s="132" t="e">
        <f>IF(AND(G45="4 - Alto",M45=-4),"MODERADO",VLOOKUP(M45,[1]Parámetros!$B$20:$C$70,2,FALSE))</f>
        <v>#VALUE!</v>
      </c>
      <c r="O45" s="128">
        <f>+'[1]Matriz seguimiento (2)'!O45</f>
        <v>0</v>
      </c>
      <c r="P45" s="128">
        <f>+'[1]Matriz seguimiento (2)'!P45</f>
        <v>0</v>
      </c>
      <c r="Q45" s="133">
        <f>+'[1]Matriz seguimiento (2)'!Q45</f>
        <v>0</v>
      </c>
      <c r="R45" s="127">
        <f>+'[1]Matriz seguimiento (2)'!R45</f>
        <v>0</v>
      </c>
      <c r="S45" s="128">
        <f>+'[1]Matriz seguimiento (2)'!S45</f>
        <v>0</v>
      </c>
      <c r="T45" s="129">
        <f t="shared" si="9"/>
        <v>0</v>
      </c>
      <c r="U45" s="128">
        <f t="shared" si="2"/>
        <v>0</v>
      </c>
      <c r="V45" s="127" t="e">
        <f t="shared" si="3"/>
        <v>#VALUE!</v>
      </c>
      <c r="W45" s="127" t="e">
        <f t="shared" si="4"/>
        <v>#VALUE!</v>
      </c>
      <c r="X45" s="127" t="e">
        <f t="shared" si="5"/>
        <v>#VALUE!</v>
      </c>
      <c r="Y45" s="128" t="e">
        <f t="shared" si="6"/>
        <v>#VALUE!</v>
      </c>
      <c r="Z45" s="132" t="e">
        <f t="shared" si="1"/>
        <v>#VALUE!</v>
      </c>
      <c r="AA45" s="166" t="e">
        <f>IF(AND(U45="4 - Alto",Z45=-4),"MODERADO",VLOOKUP(Z45,[1]Parámetros!$B$20:$C$70,2,FALSE))</f>
        <v>#VALUE!</v>
      </c>
      <c r="AB45" s="502"/>
      <c r="AC45" s="503"/>
    </row>
    <row r="46" spans="1:29" ht="15.5" x14ac:dyDescent="0.35">
      <c r="A46" s="114">
        <f>'[1]Matriz de riesgos'!A46</f>
        <v>36</v>
      </c>
      <c r="B46" s="120">
        <f>+'[1]Matriz seguimiento (2)'!B46</f>
        <v>0</v>
      </c>
      <c r="C46" s="164">
        <f>+'[1]Matriz seguimiento (2)'!C46</f>
        <v>0</v>
      </c>
      <c r="D46" s="115">
        <f>+'[1]Matriz seguimiento (2)'!D46</f>
        <v>0</v>
      </c>
      <c r="E46" s="116">
        <f>+'[1]Matriz seguimiento (2)'!E46</f>
        <v>0</v>
      </c>
      <c r="F46" s="117">
        <f>+'[1]Matriz seguimiento (2)'!F46</f>
        <v>0</v>
      </c>
      <c r="G46" s="118"/>
      <c r="H46" s="119"/>
      <c r="I46" s="120"/>
      <c r="J46" s="120"/>
      <c r="K46" s="121" t="e">
        <f t="shared" si="7"/>
        <v>#VALUE!</v>
      </c>
      <c r="L46" s="121" t="e">
        <f t="shared" si="8"/>
        <v>#VALUE!</v>
      </c>
      <c r="M46" s="122" t="e">
        <f t="shared" si="0"/>
        <v>#VALUE!</v>
      </c>
      <c r="N46" s="124" t="e">
        <f>IF(AND(G46="4 - Alto",M46=-4),"MODERADO",VLOOKUP(M46,[1]Parámetros!$B$20:$C$70,2,FALSE))</f>
        <v>#VALUE!</v>
      </c>
      <c r="O46" s="118">
        <f>+'[1]Matriz seguimiento (2)'!O46</f>
        <v>0</v>
      </c>
      <c r="P46" s="118">
        <f>+'[1]Matriz seguimiento (2)'!P46</f>
        <v>0</v>
      </c>
      <c r="Q46" s="123">
        <f>+'[1]Matriz seguimiento (2)'!Q46</f>
        <v>0</v>
      </c>
      <c r="R46" s="119">
        <f>+'[1]Matriz seguimiento (2)'!R46</f>
        <v>0</v>
      </c>
      <c r="S46" s="118">
        <f>+'[1]Matriz seguimiento (2)'!S46</f>
        <v>0</v>
      </c>
      <c r="T46" s="119">
        <f t="shared" si="9"/>
        <v>0</v>
      </c>
      <c r="U46" s="118">
        <f t="shared" si="2"/>
        <v>0</v>
      </c>
      <c r="V46" s="119" t="e">
        <f t="shared" si="3"/>
        <v>#VALUE!</v>
      </c>
      <c r="W46" s="119" t="e">
        <f t="shared" si="4"/>
        <v>#VALUE!</v>
      </c>
      <c r="X46" s="119" t="e">
        <f t="shared" si="5"/>
        <v>#VALUE!</v>
      </c>
      <c r="Y46" s="118" t="e">
        <f t="shared" si="6"/>
        <v>#VALUE!</v>
      </c>
      <c r="Z46" s="124" t="e">
        <f t="shared" si="1"/>
        <v>#VALUE!</v>
      </c>
      <c r="AA46" s="165" t="e">
        <f>IF(AND(U46="4 - Alto",Z46=-4),"MODERADO",VLOOKUP(Z46,[1]Parámetros!$B$20:$C$70,2,FALSE))</f>
        <v>#VALUE!</v>
      </c>
      <c r="AB46" s="504"/>
      <c r="AC46" s="505"/>
    </row>
    <row r="47" spans="1:29" ht="15.5" x14ac:dyDescent="0.35">
      <c r="A47" s="125">
        <f>'[1]Matriz de riesgos'!A47</f>
        <v>37</v>
      </c>
      <c r="B47" s="129">
        <f>+'[1]Matriz seguimiento (2)'!B47</f>
        <v>0</v>
      </c>
      <c r="C47" s="126">
        <f>+'[1]Matriz seguimiento (2)'!C47</f>
        <v>0</v>
      </c>
      <c r="D47" s="126">
        <f>+'[1]Matriz seguimiento (2)'!D47</f>
        <v>0</v>
      </c>
      <c r="E47" s="126">
        <f>+'[1]Matriz seguimiento (2)'!E47</f>
        <v>0</v>
      </c>
      <c r="F47" s="129">
        <f>+'[1]Matriz seguimiento (2)'!F47</f>
        <v>0</v>
      </c>
      <c r="G47" s="128"/>
      <c r="H47" s="127"/>
      <c r="I47" s="129"/>
      <c r="J47" s="129"/>
      <c r="K47" s="130" t="e">
        <f t="shared" si="7"/>
        <v>#VALUE!</v>
      </c>
      <c r="L47" s="130" t="e">
        <f t="shared" si="8"/>
        <v>#VALUE!</v>
      </c>
      <c r="M47" s="131" t="e">
        <f t="shared" si="0"/>
        <v>#VALUE!</v>
      </c>
      <c r="N47" s="132" t="e">
        <f>IF(AND(G47="4 - Alto",M47=-4),"MODERADO",VLOOKUP(M47,[1]Parámetros!$B$20:$C$70,2,FALSE))</f>
        <v>#VALUE!</v>
      </c>
      <c r="O47" s="128">
        <f>+'[1]Matriz seguimiento (2)'!O47</f>
        <v>0</v>
      </c>
      <c r="P47" s="128">
        <f>+'[1]Matriz seguimiento (2)'!P47</f>
        <v>0</v>
      </c>
      <c r="Q47" s="133">
        <f>+'[1]Matriz seguimiento (2)'!Q47</f>
        <v>0</v>
      </c>
      <c r="R47" s="127">
        <f>+'[1]Matriz seguimiento (2)'!R47</f>
        <v>0</v>
      </c>
      <c r="S47" s="128">
        <f>+'[1]Matriz seguimiento (2)'!S47</f>
        <v>0</v>
      </c>
      <c r="T47" s="129">
        <f t="shared" si="9"/>
        <v>0</v>
      </c>
      <c r="U47" s="128">
        <f t="shared" si="2"/>
        <v>0</v>
      </c>
      <c r="V47" s="127" t="e">
        <f t="shared" si="3"/>
        <v>#VALUE!</v>
      </c>
      <c r="W47" s="127" t="e">
        <f t="shared" si="4"/>
        <v>#VALUE!</v>
      </c>
      <c r="X47" s="127" t="e">
        <f t="shared" si="5"/>
        <v>#VALUE!</v>
      </c>
      <c r="Y47" s="128" t="e">
        <f t="shared" si="6"/>
        <v>#VALUE!</v>
      </c>
      <c r="Z47" s="132" t="e">
        <f t="shared" si="1"/>
        <v>#VALUE!</v>
      </c>
      <c r="AA47" s="166" t="e">
        <f>IF(AND(U47="4 - Alto",Z47=-4),"MODERADO",VLOOKUP(Z47,[1]Parámetros!$B$20:$C$70,2,FALSE))</f>
        <v>#VALUE!</v>
      </c>
      <c r="AB47" s="502"/>
      <c r="AC47" s="503"/>
    </row>
    <row r="48" spans="1:29" ht="15.5" x14ac:dyDescent="0.35">
      <c r="A48" s="114">
        <f>'[1]Matriz de riesgos'!A48</f>
        <v>38</v>
      </c>
      <c r="B48" s="120">
        <f>+'[1]Matriz seguimiento (2)'!B48</f>
        <v>0</v>
      </c>
      <c r="C48" s="164">
        <f>+'[1]Matriz seguimiento (2)'!C48</f>
        <v>0</v>
      </c>
      <c r="D48" s="115">
        <f>+'[1]Matriz seguimiento (2)'!D48</f>
        <v>0</v>
      </c>
      <c r="E48" s="116">
        <f>+'[1]Matriz seguimiento (2)'!E48</f>
        <v>0</v>
      </c>
      <c r="F48" s="117">
        <f>+'[1]Matriz seguimiento (2)'!F48</f>
        <v>0</v>
      </c>
      <c r="G48" s="118"/>
      <c r="H48" s="119"/>
      <c r="I48" s="120"/>
      <c r="J48" s="120"/>
      <c r="K48" s="121" t="e">
        <f t="shared" si="7"/>
        <v>#VALUE!</v>
      </c>
      <c r="L48" s="121" t="e">
        <f t="shared" si="8"/>
        <v>#VALUE!</v>
      </c>
      <c r="M48" s="122" t="e">
        <f t="shared" si="0"/>
        <v>#VALUE!</v>
      </c>
      <c r="N48" s="124" t="e">
        <f>IF(AND(G48="4 - Alto",M48=-4),"MODERADO",VLOOKUP(M48,[1]Parámetros!$B$20:$C$70,2,FALSE))</f>
        <v>#VALUE!</v>
      </c>
      <c r="O48" s="118">
        <f>+'[1]Matriz seguimiento (2)'!O48</f>
        <v>0</v>
      </c>
      <c r="P48" s="118">
        <f>+'[1]Matriz seguimiento (2)'!P48</f>
        <v>0</v>
      </c>
      <c r="Q48" s="123">
        <f>+'[1]Matriz seguimiento (2)'!Q48</f>
        <v>0</v>
      </c>
      <c r="R48" s="119">
        <f>+'[1]Matriz seguimiento (2)'!R48</f>
        <v>0</v>
      </c>
      <c r="S48" s="118">
        <f>+'[1]Matriz seguimiento (2)'!S48</f>
        <v>0</v>
      </c>
      <c r="T48" s="119">
        <f t="shared" si="9"/>
        <v>0</v>
      </c>
      <c r="U48" s="118">
        <f t="shared" si="2"/>
        <v>0</v>
      </c>
      <c r="V48" s="119" t="e">
        <f t="shared" si="3"/>
        <v>#VALUE!</v>
      </c>
      <c r="W48" s="119" t="e">
        <f t="shared" si="4"/>
        <v>#VALUE!</v>
      </c>
      <c r="X48" s="119" t="e">
        <f t="shared" si="5"/>
        <v>#VALUE!</v>
      </c>
      <c r="Y48" s="118" t="e">
        <f t="shared" si="6"/>
        <v>#VALUE!</v>
      </c>
      <c r="Z48" s="124" t="e">
        <f t="shared" si="1"/>
        <v>#VALUE!</v>
      </c>
      <c r="AA48" s="165" t="e">
        <f>IF(AND(U48="4 - Alto",Z48=-4),"MODERADO",VLOOKUP(Z48,[1]Parámetros!$B$20:$C$70,2,FALSE))</f>
        <v>#VALUE!</v>
      </c>
      <c r="AB48" s="504"/>
      <c r="AC48" s="505"/>
    </row>
    <row r="49" spans="1:29" ht="15.5" x14ac:dyDescent="0.35">
      <c r="A49" s="125">
        <f>'[1]Matriz de riesgos'!A49</f>
        <v>39</v>
      </c>
      <c r="B49" s="129">
        <f>+'[1]Matriz seguimiento (2)'!B49</f>
        <v>0</v>
      </c>
      <c r="C49" s="126">
        <f>+'[1]Matriz seguimiento (2)'!C49</f>
        <v>0</v>
      </c>
      <c r="D49" s="126">
        <f>+'[1]Matriz seguimiento (2)'!D49</f>
        <v>0</v>
      </c>
      <c r="E49" s="126">
        <f>+'[1]Matriz seguimiento (2)'!E49</f>
        <v>0</v>
      </c>
      <c r="F49" s="129">
        <f>+'[1]Matriz seguimiento (2)'!F49</f>
        <v>0</v>
      </c>
      <c r="G49" s="128"/>
      <c r="H49" s="127"/>
      <c r="I49" s="129"/>
      <c r="J49" s="129"/>
      <c r="K49" s="130" t="e">
        <f t="shared" si="7"/>
        <v>#VALUE!</v>
      </c>
      <c r="L49" s="130" t="e">
        <f t="shared" si="8"/>
        <v>#VALUE!</v>
      </c>
      <c r="M49" s="131" t="e">
        <f t="shared" si="0"/>
        <v>#VALUE!</v>
      </c>
      <c r="N49" s="132" t="e">
        <f>IF(AND(G49="4 - Alto",M49=-4),"MODERADO",VLOOKUP(M49,[1]Parámetros!$B$20:$C$70,2,FALSE))</f>
        <v>#VALUE!</v>
      </c>
      <c r="O49" s="128">
        <f>+'[1]Matriz seguimiento (2)'!O49</f>
        <v>0</v>
      </c>
      <c r="P49" s="128">
        <f>+'[1]Matriz seguimiento (2)'!P49</f>
        <v>0</v>
      </c>
      <c r="Q49" s="133">
        <f>+'[1]Matriz seguimiento (2)'!Q49</f>
        <v>0</v>
      </c>
      <c r="R49" s="127">
        <f>+'[1]Matriz seguimiento (2)'!R49</f>
        <v>0</v>
      </c>
      <c r="S49" s="128">
        <f>+'[1]Matriz seguimiento (2)'!S49</f>
        <v>0</v>
      </c>
      <c r="T49" s="129">
        <f t="shared" si="9"/>
        <v>0</v>
      </c>
      <c r="U49" s="128">
        <f t="shared" si="2"/>
        <v>0</v>
      </c>
      <c r="V49" s="127" t="e">
        <f t="shared" si="3"/>
        <v>#VALUE!</v>
      </c>
      <c r="W49" s="127" t="e">
        <f t="shared" si="4"/>
        <v>#VALUE!</v>
      </c>
      <c r="X49" s="127" t="e">
        <f t="shared" si="5"/>
        <v>#VALUE!</v>
      </c>
      <c r="Y49" s="128" t="e">
        <f t="shared" si="6"/>
        <v>#VALUE!</v>
      </c>
      <c r="Z49" s="132" t="e">
        <f t="shared" si="1"/>
        <v>#VALUE!</v>
      </c>
      <c r="AA49" s="166" t="e">
        <f>IF(AND(U49="4 - Alto",Z49=-4),"MODERADO",VLOOKUP(Z49,[1]Parámetros!$B$20:$C$70,2,FALSE))</f>
        <v>#VALUE!</v>
      </c>
      <c r="AB49" s="502"/>
      <c r="AC49" s="503"/>
    </row>
    <row r="50" spans="1:29" ht="15.5" x14ac:dyDescent="0.35">
      <c r="A50" s="114">
        <f>'[1]Matriz de riesgos'!A50</f>
        <v>40</v>
      </c>
      <c r="B50" s="120">
        <f>+'[1]Matriz seguimiento (2)'!B50</f>
        <v>0</v>
      </c>
      <c r="C50" s="164">
        <f>+'[1]Matriz seguimiento (2)'!C50</f>
        <v>0</v>
      </c>
      <c r="D50" s="115">
        <f>+'[1]Matriz seguimiento (2)'!D50</f>
        <v>0</v>
      </c>
      <c r="E50" s="116">
        <f>+'[1]Matriz seguimiento (2)'!E50</f>
        <v>0</v>
      </c>
      <c r="F50" s="117">
        <f>+'[1]Matriz seguimiento (2)'!F50</f>
        <v>0</v>
      </c>
      <c r="G50" s="118"/>
      <c r="H50" s="119"/>
      <c r="I50" s="120"/>
      <c r="J50" s="120"/>
      <c r="K50" s="121" t="e">
        <f t="shared" si="7"/>
        <v>#VALUE!</v>
      </c>
      <c r="L50" s="121" t="e">
        <f t="shared" si="8"/>
        <v>#VALUE!</v>
      </c>
      <c r="M50" s="122" t="e">
        <f t="shared" si="0"/>
        <v>#VALUE!</v>
      </c>
      <c r="N50" s="124" t="e">
        <f>IF(AND(G50="4 - Alto",M50=-4),"MODERADO",VLOOKUP(M50,[1]Parámetros!$B$20:$C$70,2,FALSE))</f>
        <v>#VALUE!</v>
      </c>
      <c r="O50" s="118">
        <f>+'[1]Matriz seguimiento (2)'!O50</f>
        <v>0</v>
      </c>
      <c r="P50" s="118">
        <f>+'[1]Matriz seguimiento (2)'!P50</f>
        <v>0</v>
      </c>
      <c r="Q50" s="123">
        <f>+'[1]Matriz seguimiento (2)'!Q50</f>
        <v>0</v>
      </c>
      <c r="R50" s="119">
        <f>+'[1]Matriz seguimiento (2)'!R50</f>
        <v>0</v>
      </c>
      <c r="S50" s="118">
        <f>+'[1]Matriz seguimiento (2)'!S50</f>
        <v>0</v>
      </c>
      <c r="T50" s="119">
        <f t="shared" si="9"/>
        <v>0</v>
      </c>
      <c r="U50" s="118">
        <f t="shared" si="2"/>
        <v>0</v>
      </c>
      <c r="V50" s="119" t="e">
        <f t="shared" si="3"/>
        <v>#VALUE!</v>
      </c>
      <c r="W50" s="119" t="e">
        <f t="shared" si="4"/>
        <v>#VALUE!</v>
      </c>
      <c r="X50" s="119" t="e">
        <f t="shared" si="5"/>
        <v>#VALUE!</v>
      </c>
      <c r="Y50" s="118" t="e">
        <f t="shared" si="6"/>
        <v>#VALUE!</v>
      </c>
      <c r="Z50" s="124" t="e">
        <f t="shared" si="1"/>
        <v>#VALUE!</v>
      </c>
      <c r="AA50" s="165" t="e">
        <f>IF(AND(U50="4 - Alto",Z50=-4),"MODERADO",VLOOKUP(Z50,[1]Parámetros!$B$20:$C$70,2,FALSE))</f>
        <v>#VALUE!</v>
      </c>
      <c r="AB50" s="504"/>
      <c r="AC50" s="505"/>
    </row>
    <row r="51" spans="1:29" ht="15" customHeight="1" x14ac:dyDescent="0.35">
      <c r="A51" s="125">
        <f>'[1]Matriz de riesgos'!A51</f>
        <v>41</v>
      </c>
      <c r="B51" s="129">
        <f>+'[1]Matriz seguimiento (2)'!B51</f>
        <v>0</v>
      </c>
      <c r="C51" s="126">
        <f>+'[1]Matriz seguimiento (2)'!C51</f>
        <v>0</v>
      </c>
      <c r="D51" s="126">
        <f>+'[1]Matriz seguimiento (2)'!D51</f>
        <v>0</v>
      </c>
      <c r="E51" s="126">
        <f>+'[1]Matriz seguimiento (2)'!E51</f>
        <v>0</v>
      </c>
      <c r="F51" s="129">
        <f>+'[1]Matriz seguimiento (2)'!F51</f>
        <v>0</v>
      </c>
      <c r="G51" s="128"/>
      <c r="H51" s="127"/>
      <c r="I51" s="129"/>
      <c r="J51" s="129"/>
      <c r="K51" s="130" t="e">
        <f t="shared" si="7"/>
        <v>#VALUE!</v>
      </c>
      <c r="L51" s="130" t="e">
        <f t="shared" si="8"/>
        <v>#VALUE!</v>
      </c>
      <c r="M51" s="131" t="e">
        <f t="shared" si="0"/>
        <v>#VALUE!</v>
      </c>
      <c r="N51" s="132" t="e">
        <f>IF(AND(G51="4 - Alto",M51=-4),"MODERADO",VLOOKUP(M51,[1]Parámetros!$B$20:$C$70,2,FALSE))</f>
        <v>#VALUE!</v>
      </c>
      <c r="O51" s="128">
        <f>+'[1]Matriz seguimiento (2)'!O51</f>
        <v>0</v>
      </c>
      <c r="P51" s="128">
        <f>+'[1]Matriz seguimiento (2)'!P51</f>
        <v>0</v>
      </c>
      <c r="Q51" s="133">
        <f>+'[1]Matriz seguimiento (2)'!Q51</f>
        <v>0</v>
      </c>
      <c r="R51" s="127">
        <f>+'[1]Matriz seguimiento (2)'!R51</f>
        <v>0</v>
      </c>
      <c r="S51" s="128">
        <f>+'[1]Matriz seguimiento (2)'!S51</f>
        <v>0</v>
      </c>
      <c r="T51" s="129">
        <f t="shared" si="9"/>
        <v>0</v>
      </c>
      <c r="U51" s="128">
        <f t="shared" si="2"/>
        <v>0</v>
      </c>
      <c r="V51" s="127" t="e">
        <f t="shared" si="3"/>
        <v>#VALUE!</v>
      </c>
      <c r="W51" s="127" t="e">
        <f t="shared" si="4"/>
        <v>#VALUE!</v>
      </c>
      <c r="X51" s="127" t="e">
        <f t="shared" si="5"/>
        <v>#VALUE!</v>
      </c>
      <c r="Y51" s="128" t="e">
        <f t="shared" si="6"/>
        <v>#VALUE!</v>
      </c>
      <c r="Z51" s="132" t="e">
        <f t="shared" si="1"/>
        <v>#VALUE!</v>
      </c>
      <c r="AA51" s="166" t="e">
        <f>IF(AND(U51="4 - Alto",Z51=-4),"MODERADO",VLOOKUP(Z51,[1]Parámetros!$B$20:$C$70,2,FALSE))</f>
        <v>#VALUE!</v>
      </c>
      <c r="AB51" s="502"/>
      <c r="AC51" s="503"/>
    </row>
    <row r="52" spans="1:29" ht="15.5" x14ac:dyDescent="0.35">
      <c r="A52" s="114">
        <f>'[1]Matriz de riesgos'!A52</f>
        <v>42</v>
      </c>
      <c r="B52" s="120">
        <f>+'[1]Matriz seguimiento (2)'!B52</f>
        <v>0</v>
      </c>
      <c r="C52" s="164">
        <f>+'[1]Matriz seguimiento (2)'!C52</f>
        <v>0</v>
      </c>
      <c r="D52" s="115">
        <f>+'[1]Matriz seguimiento (2)'!D52</f>
        <v>0</v>
      </c>
      <c r="E52" s="116">
        <f>+'[1]Matriz seguimiento (2)'!E52</f>
        <v>0</v>
      </c>
      <c r="F52" s="117">
        <f>+'[1]Matriz seguimiento (2)'!F52</f>
        <v>0</v>
      </c>
      <c r="G52" s="118"/>
      <c r="H52" s="119"/>
      <c r="I52" s="120"/>
      <c r="J52" s="120"/>
      <c r="K52" s="121" t="e">
        <f t="shared" si="7"/>
        <v>#VALUE!</v>
      </c>
      <c r="L52" s="121" t="e">
        <f t="shared" si="8"/>
        <v>#VALUE!</v>
      </c>
      <c r="M52" s="122" t="e">
        <f t="shared" si="0"/>
        <v>#VALUE!</v>
      </c>
      <c r="N52" s="124" t="e">
        <f>IF(AND(G52="4 - Alto",M52=-4),"MODERADO",VLOOKUP(M52,[1]Parámetros!$B$20:$C$70,2,FALSE))</f>
        <v>#VALUE!</v>
      </c>
      <c r="O52" s="118">
        <f>+'[1]Matriz seguimiento (2)'!O52</f>
        <v>0</v>
      </c>
      <c r="P52" s="118">
        <f>+'[1]Matriz seguimiento (2)'!P52</f>
        <v>0</v>
      </c>
      <c r="Q52" s="123">
        <f>+'[1]Matriz seguimiento (2)'!Q52</f>
        <v>0</v>
      </c>
      <c r="R52" s="119">
        <f>+'[1]Matriz seguimiento (2)'!R52</f>
        <v>0</v>
      </c>
      <c r="S52" s="118">
        <f>+'[1]Matriz seguimiento (2)'!S52</f>
        <v>0</v>
      </c>
      <c r="T52" s="119">
        <f t="shared" si="9"/>
        <v>0</v>
      </c>
      <c r="U52" s="118">
        <f t="shared" si="2"/>
        <v>0</v>
      </c>
      <c r="V52" s="119" t="e">
        <f t="shared" si="3"/>
        <v>#VALUE!</v>
      </c>
      <c r="W52" s="119" t="e">
        <f t="shared" si="4"/>
        <v>#VALUE!</v>
      </c>
      <c r="X52" s="119" t="e">
        <f t="shared" si="5"/>
        <v>#VALUE!</v>
      </c>
      <c r="Y52" s="118" t="e">
        <f t="shared" si="6"/>
        <v>#VALUE!</v>
      </c>
      <c r="Z52" s="124" t="e">
        <f t="shared" si="1"/>
        <v>#VALUE!</v>
      </c>
      <c r="AA52" s="165" t="e">
        <f>IF(AND(U52="4 - Alto",Z52=-4),"MODERADO",VLOOKUP(Z52,[1]Parámetros!$B$20:$C$70,2,FALSE))</f>
        <v>#VALUE!</v>
      </c>
      <c r="AB52" s="504"/>
      <c r="AC52" s="505"/>
    </row>
    <row r="53" spans="1:29" ht="15.5" x14ac:dyDescent="0.35">
      <c r="A53" s="125">
        <f>'[1]Matriz de riesgos'!A53</f>
        <v>43</v>
      </c>
      <c r="B53" s="129">
        <f>+'[1]Matriz seguimiento (2)'!B53</f>
        <v>0</v>
      </c>
      <c r="C53" s="126">
        <f>+'[1]Matriz seguimiento (2)'!C53</f>
        <v>0</v>
      </c>
      <c r="D53" s="126">
        <f>+'[1]Matriz seguimiento (2)'!D53</f>
        <v>0</v>
      </c>
      <c r="E53" s="126">
        <f>+'[1]Matriz seguimiento (2)'!E53</f>
        <v>0</v>
      </c>
      <c r="F53" s="129">
        <f>+'[1]Matriz seguimiento (2)'!F53</f>
        <v>0</v>
      </c>
      <c r="G53" s="128"/>
      <c r="H53" s="127"/>
      <c r="I53" s="129"/>
      <c r="J53" s="129"/>
      <c r="K53" s="130" t="e">
        <f t="shared" si="7"/>
        <v>#VALUE!</v>
      </c>
      <c r="L53" s="130" t="e">
        <f t="shared" si="8"/>
        <v>#VALUE!</v>
      </c>
      <c r="M53" s="131" t="e">
        <f t="shared" si="0"/>
        <v>#VALUE!</v>
      </c>
      <c r="N53" s="132" t="e">
        <f>IF(AND(G53="4 - Alto",M53=-4),"MODERADO",VLOOKUP(M53,[1]Parámetros!$B$20:$C$70,2,FALSE))</f>
        <v>#VALUE!</v>
      </c>
      <c r="O53" s="128">
        <f>+'[1]Matriz seguimiento (2)'!O53</f>
        <v>0</v>
      </c>
      <c r="P53" s="128">
        <f>+'[1]Matriz seguimiento (2)'!P53</f>
        <v>0</v>
      </c>
      <c r="Q53" s="133">
        <f>+'[1]Matriz seguimiento (2)'!Q53</f>
        <v>0</v>
      </c>
      <c r="R53" s="127">
        <f>+'[1]Matriz seguimiento (2)'!R53</f>
        <v>0</v>
      </c>
      <c r="S53" s="128">
        <f>+'[1]Matriz seguimiento (2)'!S53</f>
        <v>0</v>
      </c>
      <c r="T53" s="129">
        <f t="shared" si="9"/>
        <v>0</v>
      </c>
      <c r="U53" s="128">
        <f t="shared" si="2"/>
        <v>0</v>
      </c>
      <c r="V53" s="127" t="e">
        <f t="shared" si="3"/>
        <v>#VALUE!</v>
      </c>
      <c r="W53" s="127" t="e">
        <f t="shared" si="4"/>
        <v>#VALUE!</v>
      </c>
      <c r="X53" s="127" t="e">
        <f t="shared" si="5"/>
        <v>#VALUE!</v>
      </c>
      <c r="Y53" s="128" t="e">
        <f t="shared" si="6"/>
        <v>#VALUE!</v>
      </c>
      <c r="Z53" s="132" t="e">
        <f t="shared" si="1"/>
        <v>#VALUE!</v>
      </c>
      <c r="AA53" s="166" t="e">
        <f>IF(AND(U53="4 - Alto",Z53=-4),"MODERADO",VLOOKUP(Z53,[1]Parámetros!$B$20:$C$70,2,FALSE))</f>
        <v>#VALUE!</v>
      </c>
      <c r="AB53" s="502"/>
      <c r="AC53" s="503"/>
    </row>
    <row r="54" spans="1:29" ht="15.5" x14ac:dyDescent="0.35">
      <c r="A54" s="114">
        <f>'[1]Matriz de riesgos'!A54</f>
        <v>44</v>
      </c>
      <c r="B54" s="120">
        <f>+'[1]Matriz seguimiento (2)'!B54</f>
        <v>0</v>
      </c>
      <c r="C54" s="164">
        <f>+'[1]Matriz seguimiento (2)'!C54</f>
        <v>0</v>
      </c>
      <c r="D54" s="115">
        <f>+'[1]Matriz seguimiento (2)'!D54</f>
        <v>0</v>
      </c>
      <c r="E54" s="116">
        <f>+'[1]Matriz seguimiento (2)'!E54</f>
        <v>0</v>
      </c>
      <c r="F54" s="117">
        <f>+'[1]Matriz seguimiento (2)'!F54</f>
        <v>0</v>
      </c>
      <c r="G54" s="118"/>
      <c r="H54" s="119"/>
      <c r="I54" s="120"/>
      <c r="J54" s="120"/>
      <c r="K54" s="121" t="e">
        <f t="shared" si="7"/>
        <v>#VALUE!</v>
      </c>
      <c r="L54" s="121" t="e">
        <f t="shared" si="8"/>
        <v>#VALUE!</v>
      </c>
      <c r="M54" s="122" t="e">
        <f t="shared" si="0"/>
        <v>#VALUE!</v>
      </c>
      <c r="N54" s="124" t="e">
        <f>IF(AND(G54="4 - Alto",M54=-4),"MODERADO",VLOOKUP(M54,[1]Parámetros!$B$20:$C$70,2,FALSE))</f>
        <v>#VALUE!</v>
      </c>
      <c r="O54" s="118">
        <f>+'[1]Matriz seguimiento (2)'!O54</f>
        <v>0</v>
      </c>
      <c r="P54" s="118">
        <f>+'[1]Matriz seguimiento (2)'!P54</f>
        <v>0</v>
      </c>
      <c r="Q54" s="123">
        <f>+'[1]Matriz seguimiento (2)'!Q54</f>
        <v>0</v>
      </c>
      <c r="R54" s="119">
        <f>+'[1]Matriz seguimiento (2)'!R54</f>
        <v>0</v>
      </c>
      <c r="S54" s="118">
        <f>+'[1]Matriz seguimiento (2)'!S54</f>
        <v>0</v>
      </c>
      <c r="T54" s="119">
        <f t="shared" si="9"/>
        <v>0</v>
      </c>
      <c r="U54" s="118">
        <f t="shared" si="2"/>
        <v>0</v>
      </c>
      <c r="V54" s="119" t="e">
        <f t="shared" si="3"/>
        <v>#VALUE!</v>
      </c>
      <c r="W54" s="119" t="e">
        <f t="shared" si="4"/>
        <v>#VALUE!</v>
      </c>
      <c r="X54" s="119" t="e">
        <f t="shared" si="5"/>
        <v>#VALUE!</v>
      </c>
      <c r="Y54" s="118" t="e">
        <f t="shared" si="6"/>
        <v>#VALUE!</v>
      </c>
      <c r="Z54" s="124" t="e">
        <f t="shared" si="1"/>
        <v>#VALUE!</v>
      </c>
      <c r="AA54" s="165" t="e">
        <f>IF(AND(U54="4 - Alto",Z54=-4),"MODERADO",VLOOKUP(Z54,[1]Parámetros!$B$20:$C$70,2,FALSE))</f>
        <v>#VALUE!</v>
      </c>
      <c r="AB54" s="504"/>
      <c r="AC54" s="505"/>
    </row>
    <row r="55" spans="1:29" ht="15.5" x14ac:dyDescent="0.35">
      <c r="A55" s="125">
        <f>'[1]Matriz de riesgos'!A55</f>
        <v>45</v>
      </c>
      <c r="B55" s="129">
        <f>+'[1]Matriz seguimiento (2)'!B55</f>
        <v>0</v>
      </c>
      <c r="C55" s="126">
        <f>+'[1]Matriz seguimiento (2)'!C55</f>
        <v>0</v>
      </c>
      <c r="D55" s="126">
        <f>+'[1]Matriz seguimiento (2)'!D55</f>
        <v>0</v>
      </c>
      <c r="E55" s="126">
        <f>+'[1]Matriz seguimiento (2)'!E55</f>
        <v>0</v>
      </c>
      <c r="F55" s="129">
        <f>+'[1]Matriz seguimiento (2)'!F55</f>
        <v>0</v>
      </c>
      <c r="G55" s="128"/>
      <c r="H55" s="127"/>
      <c r="I55" s="129"/>
      <c r="J55" s="129"/>
      <c r="K55" s="130" t="e">
        <f t="shared" si="7"/>
        <v>#VALUE!</v>
      </c>
      <c r="L55" s="130" t="e">
        <f t="shared" si="8"/>
        <v>#VALUE!</v>
      </c>
      <c r="M55" s="131" t="e">
        <f t="shared" si="0"/>
        <v>#VALUE!</v>
      </c>
      <c r="N55" s="132" t="e">
        <f>IF(AND(G55="4 - Alto",M55=-4),"MODERADO",VLOOKUP(M55,[1]Parámetros!$B$20:$C$70,2,FALSE))</f>
        <v>#VALUE!</v>
      </c>
      <c r="O55" s="128">
        <f>+'[1]Matriz seguimiento (2)'!O55</f>
        <v>0</v>
      </c>
      <c r="P55" s="128">
        <f>+'[1]Matriz seguimiento (2)'!P55</f>
        <v>0</v>
      </c>
      <c r="Q55" s="133">
        <f>+'[1]Matriz seguimiento (2)'!Q55</f>
        <v>0</v>
      </c>
      <c r="R55" s="127">
        <f>+'[1]Matriz seguimiento (2)'!R55</f>
        <v>0</v>
      </c>
      <c r="S55" s="128">
        <f>+'[1]Matriz seguimiento (2)'!S55</f>
        <v>0</v>
      </c>
      <c r="T55" s="129">
        <f t="shared" si="9"/>
        <v>0</v>
      </c>
      <c r="U55" s="128">
        <f t="shared" si="2"/>
        <v>0</v>
      </c>
      <c r="V55" s="127" t="e">
        <f t="shared" si="3"/>
        <v>#VALUE!</v>
      </c>
      <c r="W55" s="127" t="e">
        <f t="shared" si="4"/>
        <v>#VALUE!</v>
      </c>
      <c r="X55" s="127" t="e">
        <f t="shared" si="5"/>
        <v>#VALUE!</v>
      </c>
      <c r="Y55" s="128" t="e">
        <f t="shared" si="6"/>
        <v>#VALUE!</v>
      </c>
      <c r="Z55" s="132" t="e">
        <f t="shared" si="1"/>
        <v>#VALUE!</v>
      </c>
      <c r="AA55" s="166" t="e">
        <f>IF(AND(U55="4 - Alto",Z55=-4),"MODERADO",VLOOKUP(Z55,[1]Parámetros!$B$20:$C$70,2,FALSE))</f>
        <v>#VALUE!</v>
      </c>
      <c r="AB55" s="502"/>
      <c r="AC55" s="503"/>
    </row>
    <row r="56" spans="1:29" ht="15.5" x14ac:dyDescent="0.35">
      <c r="A56" s="114">
        <f>'[1]Matriz de riesgos'!A56</f>
        <v>46</v>
      </c>
      <c r="B56" s="120">
        <f>+'[1]Matriz seguimiento (2)'!B56</f>
        <v>0</v>
      </c>
      <c r="C56" s="164">
        <f>+'[1]Matriz seguimiento (2)'!C56</f>
        <v>0</v>
      </c>
      <c r="D56" s="115">
        <f>+'[1]Matriz seguimiento (2)'!D56</f>
        <v>0</v>
      </c>
      <c r="E56" s="116">
        <f>+'[1]Matriz seguimiento (2)'!E56</f>
        <v>0</v>
      </c>
      <c r="F56" s="117">
        <f>+'[1]Matriz seguimiento (2)'!F56</f>
        <v>0</v>
      </c>
      <c r="G56" s="118"/>
      <c r="H56" s="119"/>
      <c r="I56" s="120"/>
      <c r="J56" s="120"/>
      <c r="K56" s="121" t="e">
        <f t="shared" si="7"/>
        <v>#VALUE!</v>
      </c>
      <c r="L56" s="121" t="e">
        <f t="shared" si="8"/>
        <v>#VALUE!</v>
      </c>
      <c r="M56" s="122" t="e">
        <f t="shared" si="0"/>
        <v>#VALUE!</v>
      </c>
      <c r="N56" s="124" t="e">
        <f>IF(AND(G56="4 - Alto",M56=-4),"MODERADO",VLOOKUP(M56,[1]Parámetros!$B$20:$C$70,2,FALSE))</f>
        <v>#VALUE!</v>
      </c>
      <c r="O56" s="118">
        <f>+'[1]Matriz seguimiento (2)'!O56</f>
        <v>0</v>
      </c>
      <c r="P56" s="118">
        <f>+'[1]Matriz seguimiento (2)'!P56</f>
        <v>0</v>
      </c>
      <c r="Q56" s="123">
        <f>+'[1]Matriz seguimiento (2)'!Q56</f>
        <v>0</v>
      </c>
      <c r="R56" s="119">
        <f>+'[1]Matriz seguimiento (2)'!R56</f>
        <v>0</v>
      </c>
      <c r="S56" s="118">
        <f>+'[1]Matriz seguimiento (2)'!S56</f>
        <v>0</v>
      </c>
      <c r="T56" s="119">
        <f t="shared" si="9"/>
        <v>0</v>
      </c>
      <c r="U56" s="118">
        <f t="shared" si="2"/>
        <v>0</v>
      </c>
      <c r="V56" s="119" t="e">
        <f t="shared" si="3"/>
        <v>#VALUE!</v>
      </c>
      <c r="W56" s="119" t="e">
        <f t="shared" si="4"/>
        <v>#VALUE!</v>
      </c>
      <c r="X56" s="119" t="e">
        <f t="shared" si="5"/>
        <v>#VALUE!</v>
      </c>
      <c r="Y56" s="118" t="e">
        <f t="shared" si="6"/>
        <v>#VALUE!</v>
      </c>
      <c r="Z56" s="124" t="e">
        <f t="shared" si="1"/>
        <v>#VALUE!</v>
      </c>
      <c r="AA56" s="165" t="e">
        <f>IF(AND(U56="4 - Alto",Z56=-4),"MODERADO",VLOOKUP(Z56,[1]Parámetros!$B$20:$C$70,2,FALSE))</f>
        <v>#VALUE!</v>
      </c>
      <c r="AB56" s="504"/>
      <c r="AC56" s="505"/>
    </row>
    <row r="57" spans="1:29" ht="15.5" x14ac:dyDescent="0.35">
      <c r="A57" s="125">
        <f>'[1]Matriz de riesgos'!A57</f>
        <v>47</v>
      </c>
      <c r="B57" s="129">
        <f>+'[1]Matriz seguimiento (2)'!B57</f>
        <v>0</v>
      </c>
      <c r="C57" s="126">
        <f>+'[1]Matriz seguimiento (2)'!C57</f>
        <v>0</v>
      </c>
      <c r="D57" s="126">
        <f>+'[1]Matriz seguimiento (2)'!D57</f>
        <v>0</v>
      </c>
      <c r="E57" s="126">
        <f>+'[1]Matriz seguimiento (2)'!E57</f>
        <v>0</v>
      </c>
      <c r="F57" s="129">
        <f>+'[1]Matriz seguimiento (2)'!F57</f>
        <v>0</v>
      </c>
      <c r="G57" s="128"/>
      <c r="H57" s="127"/>
      <c r="I57" s="129"/>
      <c r="J57" s="129"/>
      <c r="K57" s="130" t="e">
        <f t="shared" si="7"/>
        <v>#VALUE!</v>
      </c>
      <c r="L57" s="130" t="e">
        <f t="shared" si="8"/>
        <v>#VALUE!</v>
      </c>
      <c r="M57" s="131" t="e">
        <f t="shared" si="0"/>
        <v>#VALUE!</v>
      </c>
      <c r="N57" s="132" t="e">
        <f>IF(AND(G57="4 - Alto",M57=-4),"MODERADO",VLOOKUP(M57,[1]Parámetros!$B$20:$C$70,2,FALSE))</f>
        <v>#VALUE!</v>
      </c>
      <c r="O57" s="128">
        <f>+'[1]Matriz seguimiento (2)'!O57</f>
        <v>0</v>
      </c>
      <c r="P57" s="128">
        <f>+'[1]Matriz seguimiento (2)'!P57</f>
        <v>0</v>
      </c>
      <c r="Q57" s="133">
        <f>+'[1]Matriz seguimiento (2)'!Q57</f>
        <v>0</v>
      </c>
      <c r="R57" s="127">
        <f>+'[1]Matriz seguimiento (2)'!R57</f>
        <v>0</v>
      </c>
      <c r="S57" s="128">
        <f>+'[1]Matriz seguimiento (2)'!S57</f>
        <v>0</v>
      </c>
      <c r="T57" s="129">
        <f t="shared" si="9"/>
        <v>0</v>
      </c>
      <c r="U57" s="128">
        <f t="shared" si="2"/>
        <v>0</v>
      </c>
      <c r="V57" s="127" t="e">
        <f t="shared" si="3"/>
        <v>#VALUE!</v>
      </c>
      <c r="W57" s="127" t="e">
        <f t="shared" si="4"/>
        <v>#VALUE!</v>
      </c>
      <c r="X57" s="127" t="e">
        <f t="shared" si="5"/>
        <v>#VALUE!</v>
      </c>
      <c r="Y57" s="128" t="e">
        <f t="shared" si="6"/>
        <v>#VALUE!</v>
      </c>
      <c r="Z57" s="132" t="e">
        <f t="shared" si="1"/>
        <v>#VALUE!</v>
      </c>
      <c r="AA57" s="166" t="e">
        <f>IF(AND(U57="4 - Alto",Z57=-4),"MODERADO",VLOOKUP(Z57,[1]Parámetros!$B$20:$C$70,2,FALSE))</f>
        <v>#VALUE!</v>
      </c>
      <c r="AB57" s="502"/>
      <c r="AC57" s="503"/>
    </row>
    <row r="58" spans="1:29" ht="15.5" x14ac:dyDescent="0.35">
      <c r="A58" s="114">
        <f>'[1]Matriz de riesgos'!A58</f>
        <v>48</v>
      </c>
      <c r="B58" s="120">
        <f>+'[1]Matriz seguimiento (2)'!B58</f>
        <v>0</v>
      </c>
      <c r="C58" s="164">
        <f>+'[1]Matriz seguimiento (2)'!C58</f>
        <v>0</v>
      </c>
      <c r="D58" s="115">
        <f>+'[1]Matriz seguimiento (2)'!D58</f>
        <v>0</v>
      </c>
      <c r="E58" s="116">
        <f>+'[1]Matriz seguimiento (2)'!E58</f>
        <v>0</v>
      </c>
      <c r="F58" s="117">
        <f>+'[1]Matriz seguimiento (2)'!F58</f>
        <v>0</v>
      </c>
      <c r="G58" s="118"/>
      <c r="H58" s="119"/>
      <c r="I58" s="120"/>
      <c r="J58" s="120"/>
      <c r="K58" s="121" t="e">
        <f t="shared" si="7"/>
        <v>#VALUE!</v>
      </c>
      <c r="L58" s="121" t="e">
        <f t="shared" si="8"/>
        <v>#VALUE!</v>
      </c>
      <c r="M58" s="122" t="e">
        <f t="shared" si="0"/>
        <v>#VALUE!</v>
      </c>
      <c r="N58" s="124" t="e">
        <f>IF(AND(G58="4 - Alto",M58=-4),"MODERADO",VLOOKUP(M58,[1]Parámetros!$B$20:$C$70,2,FALSE))</f>
        <v>#VALUE!</v>
      </c>
      <c r="O58" s="118">
        <f>+'[1]Matriz seguimiento (2)'!O58</f>
        <v>0</v>
      </c>
      <c r="P58" s="118">
        <f>+'[1]Matriz seguimiento (2)'!P58</f>
        <v>0</v>
      </c>
      <c r="Q58" s="123">
        <f>+'[1]Matriz seguimiento (2)'!Q58</f>
        <v>0</v>
      </c>
      <c r="R58" s="119">
        <f>+'[1]Matriz seguimiento (2)'!R58</f>
        <v>0</v>
      </c>
      <c r="S58" s="118">
        <f>+'[1]Matriz seguimiento (2)'!S58</f>
        <v>0</v>
      </c>
      <c r="T58" s="119">
        <f t="shared" si="9"/>
        <v>0</v>
      </c>
      <c r="U58" s="118">
        <f t="shared" si="2"/>
        <v>0</v>
      </c>
      <c r="V58" s="119" t="e">
        <f t="shared" si="3"/>
        <v>#VALUE!</v>
      </c>
      <c r="W58" s="119" t="e">
        <f t="shared" si="4"/>
        <v>#VALUE!</v>
      </c>
      <c r="X58" s="119" t="e">
        <f t="shared" si="5"/>
        <v>#VALUE!</v>
      </c>
      <c r="Y58" s="118" t="e">
        <f t="shared" si="6"/>
        <v>#VALUE!</v>
      </c>
      <c r="Z58" s="124" t="e">
        <f t="shared" si="1"/>
        <v>#VALUE!</v>
      </c>
      <c r="AA58" s="165" t="e">
        <f>IF(AND(U58="4 - Alto",Z58=-4),"MODERADO",VLOOKUP(Z58,[1]Parámetros!$B$20:$C$70,2,FALSE))</f>
        <v>#VALUE!</v>
      </c>
      <c r="AB58" s="504"/>
      <c r="AC58" s="505"/>
    </row>
    <row r="59" spans="1:29" ht="15.5" x14ac:dyDescent="0.35">
      <c r="A59" s="125">
        <f>'[1]Matriz de riesgos'!A59</f>
        <v>49</v>
      </c>
      <c r="B59" s="129">
        <f>+'[1]Matriz seguimiento (2)'!B59</f>
        <v>0</v>
      </c>
      <c r="C59" s="126">
        <f>+'[1]Matriz seguimiento (2)'!C59</f>
        <v>0</v>
      </c>
      <c r="D59" s="126">
        <f>+'[1]Matriz seguimiento (2)'!D59</f>
        <v>0</v>
      </c>
      <c r="E59" s="126">
        <f>+'[1]Matriz seguimiento (2)'!E59</f>
        <v>0</v>
      </c>
      <c r="F59" s="129">
        <f>+'[1]Matriz seguimiento (2)'!F59</f>
        <v>0</v>
      </c>
      <c r="G59" s="128"/>
      <c r="H59" s="127"/>
      <c r="I59" s="129"/>
      <c r="J59" s="129"/>
      <c r="K59" s="130" t="e">
        <f t="shared" si="7"/>
        <v>#VALUE!</v>
      </c>
      <c r="L59" s="130" t="e">
        <f t="shared" si="8"/>
        <v>#VALUE!</v>
      </c>
      <c r="M59" s="131" t="e">
        <f t="shared" si="0"/>
        <v>#VALUE!</v>
      </c>
      <c r="N59" s="132" t="e">
        <f>IF(AND(G59="4 - Alto",M59=-4),"MODERADO",VLOOKUP(M59,[1]Parámetros!$B$20:$C$70,2,FALSE))</f>
        <v>#VALUE!</v>
      </c>
      <c r="O59" s="128">
        <f>+'[1]Matriz seguimiento (2)'!O59</f>
        <v>0</v>
      </c>
      <c r="P59" s="128">
        <f>+'[1]Matriz seguimiento (2)'!P59</f>
        <v>0</v>
      </c>
      <c r="Q59" s="133">
        <f>+'[1]Matriz seguimiento (2)'!Q59</f>
        <v>0</v>
      </c>
      <c r="R59" s="127">
        <f>+'[1]Matriz seguimiento (2)'!R59</f>
        <v>0</v>
      </c>
      <c r="S59" s="128">
        <f>+'[1]Matriz seguimiento (2)'!S59</f>
        <v>0</v>
      </c>
      <c r="T59" s="129">
        <f t="shared" si="9"/>
        <v>0</v>
      </c>
      <c r="U59" s="128">
        <f t="shared" si="2"/>
        <v>0</v>
      </c>
      <c r="V59" s="127" t="e">
        <f t="shared" si="3"/>
        <v>#VALUE!</v>
      </c>
      <c r="W59" s="127" t="e">
        <f t="shared" si="4"/>
        <v>#VALUE!</v>
      </c>
      <c r="X59" s="127" t="e">
        <f t="shared" si="5"/>
        <v>#VALUE!</v>
      </c>
      <c r="Y59" s="128" t="e">
        <f t="shared" si="6"/>
        <v>#VALUE!</v>
      </c>
      <c r="Z59" s="132" t="e">
        <f t="shared" si="1"/>
        <v>#VALUE!</v>
      </c>
      <c r="AA59" s="166" t="e">
        <f>IF(AND(U59="4 - Alto",Z59=-4),"MODERADO",VLOOKUP(Z59,[1]Parámetros!$B$20:$C$70,2,FALSE))</f>
        <v>#VALUE!</v>
      </c>
      <c r="AB59" s="502"/>
      <c r="AC59" s="503"/>
    </row>
    <row r="60" spans="1:29" ht="15.75" customHeight="1" thickBot="1" x14ac:dyDescent="0.4">
      <c r="A60" s="134">
        <f>'[1]Matriz de riesgos'!A60</f>
        <v>50</v>
      </c>
      <c r="B60" s="138">
        <f>+'[1]Matriz seguimiento (2)'!B60</f>
        <v>0</v>
      </c>
      <c r="C60" s="167">
        <f>+'[1]Matriz seguimiento (2)'!C60</f>
        <v>0</v>
      </c>
      <c r="D60" s="168">
        <f>+'[1]Matriz seguimiento (2)'!D60</f>
        <v>0</v>
      </c>
      <c r="E60" s="135">
        <f>+'[1]Matriz seguimiento (2)'!E60</f>
        <v>0</v>
      </c>
      <c r="F60" s="141">
        <f>+'[1]Matriz seguimiento (2)'!F60</f>
        <v>0</v>
      </c>
      <c r="G60" s="137"/>
      <c r="H60" s="136"/>
      <c r="I60" s="138"/>
      <c r="J60" s="138"/>
      <c r="K60" s="139" t="e">
        <f t="shared" si="7"/>
        <v>#VALUE!</v>
      </c>
      <c r="L60" s="139" t="e">
        <f t="shared" si="8"/>
        <v>#VALUE!</v>
      </c>
      <c r="M60" s="140" t="e">
        <f t="shared" si="0"/>
        <v>#VALUE!</v>
      </c>
      <c r="N60" s="143" t="e">
        <f>IF(AND(G60="4 - Alto",M60=-4),"MODERADO",VLOOKUP(M60,[1]Parámetros!$B$20:$C$70,2,FALSE))</f>
        <v>#VALUE!</v>
      </c>
      <c r="O60" s="137">
        <f>+'[1]Matriz seguimiento (2)'!O60</f>
        <v>0</v>
      </c>
      <c r="P60" s="137">
        <f>+'[1]Matriz seguimiento (2)'!P60</f>
        <v>0</v>
      </c>
      <c r="Q60" s="142">
        <f>+'[1]Matriz seguimiento (2)'!Q60</f>
        <v>0</v>
      </c>
      <c r="R60" s="136">
        <f>+'[1]Matriz seguimiento (2)'!R60</f>
        <v>0</v>
      </c>
      <c r="S60" s="137">
        <f>+'[1]Matriz seguimiento (2)'!S60</f>
        <v>0</v>
      </c>
      <c r="T60" s="136">
        <f t="shared" si="9"/>
        <v>0</v>
      </c>
      <c r="U60" s="137">
        <f t="shared" si="2"/>
        <v>0</v>
      </c>
      <c r="V60" s="136" t="e">
        <f t="shared" si="3"/>
        <v>#VALUE!</v>
      </c>
      <c r="W60" s="136" t="e">
        <f t="shared" si="4"/>
        <v>#VALUE!</v>
      </c>
      <c r="X60" s="136" t="e">
        <f t="shared" si="5"/>
        <v>#VALUE!</v>
      </c>
      <c r="Y60" s="137" t="e">
        <f t="shared" si="6"/>
        <v>#VALUE!</v>
      </c>
      <c r="Z60" s="143" t="e">
        <f t="shared" si="1"/>
        <v>#VALUE!</v>
      </c>
      <c r="AA60" s="169" t="e">
        <f>IF(AND(U60="4 - Alto",Z60=-4),"MODERADO",VLOOKUP(Z60,[1]Parámetros!$B$20:$C$70,2,FALSE))</f>
        <v>#VALUE!</v>
      </c>
      <c r="AB60" s="506"/>
      <c r="AC60" s="507"/>
    </row>
    <row r="61" spans="1:29" x14ac:dyDescent="0.35">
      <c r="A61" s="144" t="s">
        <v>683</v>
      </c>
      <c r="B61" s="144" t="s">
        <v>683</v>
      </c>
      <c r="C61" s="144" t="s">
        <v>683</v>
      </c>
      <c r="D61" s="144" t="s">
        <v>683</v>
      </c>
      <c r="E61" s="144" t="s">
        <v>683</v>
      </c>
      <c r="F61" s="144" t="s">
        <v>683</v>
      </c>
      <c r="G61" s="144" t="s">
        <v>683</v>
      </c>
      <c r="H61" s="144" t="s">
        <v>683</v>
      </c>
      <c r="I61" s="144" t="s">
        <v>683</v>
      </c>
      <c r="J61" s="144" t="s">
        <v>683</v>
      </c>
      <c r="K61" s="144" t="s">
        <v>683</v>
      </c>
      <c r="L61" s="144" t="s">
        <v>683</v>
      </c>
      <c r="M61" s="144" t="s">
        <v>683</v>
      </c>
      <c r="N61" s="144" t="s">
        <v>683</v>
      </c>
      <c r="O61" s="144" t="s">
        <v>683</v>
      </c>
      <c r="P61" s="144" t="s">
        <v>683</v>
      </c>
      <c r="Q61" s="144" t="s">
        <v>683</v>
      </c>
      <c r="R61" s="144" t="s">
        <v>683</v>
      </c>
      <c r="S61" s="144" t="s">
        <v>683</v>
      </c>
      <c r="T61" s="144" t="s">
        <v>683</v>
      </c>
      <c r="U61" s="144" t="s">
        <v>683</v>
      </c>
      <c r="V61" s="144" t="s">
        <v>683</v>
      </c>
      <c r="W61" s="144" t="s">
        <v>683</v>
      </c>
      <c r="X61" s="144" t="s">
        <v>683</v>
      </c>
      <c r="Y61" s="144" t="s">
        <v>683</v>
      </c>
      <c r="Z61" s="144" t="s">
        <v>683</v>
      </c>
      <c r="AA61" s="144" t="s">
        <v>683</v>
      </c>
      <c r="AB61" s="144" t="s">
        <v>683</v>
      </c>
      <c r="AC61" s="144" t="s">
        <v>683</v>
      </c>
    </row>
  </sheetData>
  <mergeCells count="62">
    <mergeCell ref="AB14:AC14"/>
    <mergeCell ref="A1:C5"/>
    <mergeCell ref="D1:AC5"/>
    <mergeCell ref="A7:C7"/>
    <mergeCell ref="D7:H7"/>
    <mergeCell ref="S7:T7"/>
    <mergeCell ref="A9:F9"/>
    <mergeCell ref="G9:N9"/>
    <mergeCell ref="O9:T9"/>
    <mergeCell ref="U9:AA9"/>
    <mergeCell ref="AB9:AC9"/>
    <mergeCell ref="V10:X10"/>
    <mergeCell ref="AB10:AC10"/>
    <mergeCell ref="AB11:AC11"/>
    <mergeCell ref="AB12:AC12"/>
    <mergeCell ref="AB13:AC13"/>
    <mergeCell ref="AB26:AC26"/>
    <mergeCell ref="AB15:AC15"/>
    <mergeCell ref="AB16:AC16"/>
    <mergeCell ref="AB17:AC17"/>
    <mergeCell ref="AB18:AC18"/>
    <mergeCell ref="AB19:AC19"/>
    <mergeCell ref="AB20:AC20"/>
    <mergeCell ref="AB21:AC21"/>
    <mergeCell ref="AB22:AC22"/>
    <mergeCell ref="AB23:AC23"/>
    <mergeCell ref="AB24:AC24"/>
    <mergeCell ref="AB25:AC25"/>
    <mergeCell ref="AB38:AC38"/>
    <mergeCell ref="AB27:AC27"/>
    <mergeCell ref="AB28:AC28"/>
    <mergeCell ref="AB29:AC29"/>
    <mergeCell ref="AB30:AC30"/>
    <mergeCell ref="AB31:AC31"/>
    <mergeCell ref="AB32:AC32"/>
    <mergeCell ref="AB33:AC33"/>
    <mergeCell ref="AB34:AC34"/>
    <mergeCell ref="AB35:AC35"/>
    <mergeCell ref="AB36:AC36"/>
    <mergeCell ref="AB37:AC37"/>
    <mergeCell ref="AB50:AC50"/>
    <mergeCell ref="AB39:AC39"/>
    <mergeCell ref="AB40:AC40"/>
    <mergeCell ref="AB41:AC41"/>
    <mergeCell ref="AB42:AC42"/>
    <mergeCell ref="AB43:AC43"/>
    <mergeCell ref="AB44:AC44"/>
    <mergeCell ref="AB45:AC45"/>
    <mergeCell ref="AB46:AC46"/>
    <mergeCell ref="AB47:AC47"/>
    <mergeCell ref="AB48:AC48"/>
    <mergeCell ref="AB49:AC49"/>
    <mergeCell ref="AB57:AC57"/>
    <mergeCell ref="AB58:AC58"/>
    <mergeCell ref="AB59:AC59"/>
    <mergeCell ref="AB60:AC60"/>
    <mergeCell ref="AB51:AC51"/>
    <mergeCell ref="AB52:AC52"/>
    <mergeCell ref="AB53:AC53"/>
    <mergeCell ref="AB54:AC54"/>
    <mergeCell ref="AB55:AC55"/>
    <mergeCell ref="AB56:AC56"/>
  </mergeCells>
  <conditionalFormatting sqref="N11:N1048576">
    <cfRule type="containsText" dxfId="23" priority="17" operator="containsText" text="EXTREMO (+)">
      <formula>NOT(ISERROR(SEARCH("EXTREMO (+)",N11)))</formula>
    </cfRule>
    <cfRule type="containsText" dxfId="22" priority="18" operator="containsText" text="ALTO (+)">
      <formula>NOT(ISERROR(SEARCH("ALTO (+)",N11)))</formula>
    </cfRule>
    <cfRule type="containsText" dxfId="21" priority="19" operator="containsText" text="MODERADO (+)">
      <formula>NOT(ISERROR(SEARCH("MODERADO (+)",N11)))</formula>
    </cfRule>
    <cfRule type="containsText" dxfId="20" priority="20" operator="containsText" text="BAJO (+)">
      <formula>NOT(ISERROR(SEARCH("BAJO (+)",N11)))</formula>
    </cfRule>
    <cfRule type="containsText" dxfId="19" priority="21" operator="containsText" text="EXTREMO">
      <formula>NOT(ISERROR(SEARCH("EXTREMO",N11)))</formula>
    </cfRule>
    <cfRule type="containsText" dxfId="18" priority="22" operator="containsText" text="ALTO">
      <formula>NOT(ISERROR(SEARCH("ALTO",N11)))</formula>
    </cfRule>
    <cfRule type="containsText" dxfId="17" priority="23" operator="containsText" text="MODERADO">
      <formula>NOT(ISERROR(SEARCH("MODERADO",N11)))</formula>
    </cfRule>
    <cfRule type="containsText" dxfId="16" priority="24" operator="containsText" text="BAJO">
      <formula>NOT(ISERROR(SEARCH("BAJO",N11)))</formula>
    </cfRule>
  </conditionalFormatting>
  <conditionalFormatting sqref="AA7">
    <cfRule type="containsText" dxfId="15" priority="1" operator="containsText" text="EXTREMO (+)">
      <formula>NOT(ISERROR(SEARCH("EXTREMO (+)",AA7)))</formula>
    </cfRule>
    <cfRule type="containsText" dxfId="14" priority="2" operator="containsText" text="ALTO (+)">
      <formula>NOT(ISERROR(SEARCH("ALTO (+)",AA7)))</formula>
    </cfRule>
    <cfRule type="containsText" dxfId="13" priority="3" operator="containsText" text="MODERADO (+)">
      <formula>NOT(ISERROR(SEARCH("MODERADO (+)",AA7)))</formula>
    </cfRule>
    <cfRule type="containsText" dxfId="12" priority="4" operator="containsText" text="BAJO (+)">
      <formula>NOT(ISERROR(SEARCH("BAJO (+)",AA7)))</formula>
    </cfRule>
    <cfRule type="containsText" dxfId="11" priority="5" operator="containsText" text="EXTREMO">
      <formula>NOT(ISERROR(SEARCH("EXTREMO",AA7)))</formula>
    </cfRule>
    <cfRule type="containsText" dxfId="10" priority="6" operator="containsText" text="ALTO">
      <formula>NOT(ISERROR(SEARCH("ALTO",AA7)))</formula>
    </cfRule>
    <cfRule type="containsText" dxfId="9" priority="7" operator="containsText" text="MODERADO">
      <formula>NOT(ISERROR(SEARCH("MODERADO",AA7)))</formula>
    </cfRule>
    <cfRule type="containsText" dxfId="8" priority="8" operator="containsText" text="BAJO">
      <formula>NOT(ISERROR(SEARCH("BAJO",AA7)))</formula>
    </cfRule>
  </conditionalFormatting>
  <conditionalFormatting sqref="AA11:AB1048576">
    <cfRule type="containsText" dxfId="7" priority="9" operator="containsText" text="EXTREMO (+)">
      <formula>NOT(ISERROR(SEARCH("EXTREMO (+)",AA11)))</formula>
    </cfRule>
    <cfRule type="containsText" dxfId="6" priority="10" operator="containsText" text="ALTO (+)">
      <formula>NOT(ISERROR(SEARCH("ALTO (+)",AA11)))</formula>
    </cfRule>
    <cfRule type="containsText" dxfId="5" priority="11" operator="containsText" text="MODERADO (+)">
      <formula>NOT(ISERROR(SEARCH("MODERADO (+)",AA11)))</formula>
    </cfRule>
    <cfRule type="containsText" dxfId="4" priority="12" operator="containsText" text="BAJO (+)">
      <formula>NOT(ISERROR(SEARCH("BAJO (+)",AA11)))</formula>
    </cfRule>
    <cfRule type="containsText" dxfId="3" priority="13" operator="containsText" text="EXTREMO">
      <formula>NOT(ISERROR(SEARCH("EXTREMO",AA11)))</formula>
    </cfRule>
    <cfRule type="containsText" dxfId="2" priority="14" operator="containsText" text="ALTO">
      <formula>NOT(ISERROR(SEARCH("ALTO",AA11)))</formula>
    </cfRule>
    <cfRule type="containsText" dxfId="1" priority="15" operator="containsText" text="MODERADO">
      <formula>NOT(ISERROR(SEARCH("MODERADO",AA11)))</formula>
    </cfRule>
    <cfRule type="containsText" dxfId="0" priority="16" operator="containsText" text="BAJO">
      <formula>NOT(ISERROR(SEARCH("BAJO",AA11)))</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Parámetros!$C$3:$C$7</xm:f>
          </x14:formula1>
          <xm:sqref>G11:G60</xm:sqref>
        </x14:dataValidation>
        <x14:dataValidation type="list" allowBlank="1" showInputMessage="1" showErrorMessage="1" xr:uid="{00000000-0002-0000-0800-000001000000}">
          <x14:formula1>
            <xm:f>Parámetros!$D$3:$D$18</xm:f>
          </x14:formula1>
          <xm:sqref>H11:H60</xm:sqref>
        </x14:dataValidation>
        <x14:dataValidation type="list" allowBlank="1" showInputMessage="1" showErrorMessage="1" xr:uid="{00000000-0002-0000-0800-000002000000}">
          <x14:formula1>
            <xm:f>Parámetros!$E$3:$E$13</xm:f>
          </x14:formula1>
          <xm:sqref>I11:I60</xm:sqref>
        </x14:dataValidation>
        <x14:dataValidation type="list" allowBlank="1" showInputMessage="1" showErrorMessage="1" xr:uid="{00000000-0002-0000-0800-000003000000}">
          <x14:formula1>
            <xm:f>Parámetros!$F$3:$F$13</xm:f>
          </x14:formula1>
          <xm:sqref>J11:J60</xm:sqref>
        </x14:dataValidation>
      </x14:dataValidations>
    </ext>
  </extLst>
</worksheet>
</file>

<file path=docMetadata/LabelInfo.xml><?xml version="1.0" encoding="utf-8"?>
<clbl:labelList xmlns:clbl="http://schemas.microsoft.com/office/2020/mipLabelMetadata">
  <clbl:label id="{f56440b0-bb43-4d81-a621-bc28eeeaa1f1}" enabled="1" method="Privileged" siteId="{d49de431-8ec2-4627-95dc-a1b041bbab3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Instructivo</vt:lpstr>
      <vt:lpstr>Contexto</vt:lpstr>
      <vt:lpstr>Matriz de Criterios</vt:lpstr>
      <vt:lpstr>Listas-Input</vt:lpstr>
      <vt:lpstr>Parámetros</vt:lpstr>
      <vt:lpstr>Matriz de riesgos</vt:lpstr>
      <vt:lpstr>Matriz seguimiento (2)</vt:lpstr>
      <vt:lpstr>Matriz seguimiento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Lopez Arias</dc:creator>
  <cp:keywords/>
  <dc:description/>
  <cp:lastModifiedBy>Alejandro Duran Vergara</cp:lastModifiedBy>
  <cp:revision/>
  <dcterms:created xsi:type="dcterms:W3CDTF">2022-05-31T14:14:12Z</dcterms:created>
  <dcterms:modified xsi:type="dcterms:W3CDTF">2025-08-11T14:40:40Z</dcterms:modified>
  <cp:category/>
  <cp:contentStatus/>
</cp:coreProperties>
</file>